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filterPrivacy="1"/>
  <xr:revisionPtr revIDLastSave="0" documentId="13_ncr:1_{C990D650-AA1B-4275-B609-A615BA6AA681}" xr6:coauthVersionLast="47" xr6:coauthVersionMax="47" xr10:uidLastSave="{00000000-0000-0000-0000-000000000000}"/>
  <bookViews>
    <workbookView xWindow="-120" yWindow="-120" windowWidth="29040" windowHeight="15720" xr2:uid="{00000000-000D-0000-FFFF-FFFF00000000}"/>
  </bookViews>
  <sheets>
    <sheet name="Version" sheetId="10" r:id="rId1"/>
    <sheet name="Loan Summary" sheetId="1" r:id="rId2"/>
    <sheet name="Pro Forma" sheetId="3" r:id="rId3"/>
    <sheet name="Loan Terms" sheetId="2" r:id="rId4"/>
    <sheet name="Refinance Analysis" sheetId="9" r:id="rId5"/>
    <sheet name="Prepayment Analysis" sheetId="12" r:id="rId6"/>
    <sheet name="Amortization" sheetId="11" r:id="rId7"/>
    <sheet name="Data" sheetId="8" r:id="rId8"/>
  </sheets>
  <externalReferences>
    <externalReference r:id="rId9"/>
    <externalReference r:id="rId10"/>
    <externalReference r:id="rId11"/>
  </externalReferences>
  <definedNames>
    <definedName name="__FDS_HYPERLINK_TOGGLE_STATE__" hidden="1">"ON"</definedName>
    <definedName name="_2S" localSheetId="6" hidden="1">[1]OfficeStock!#REF!</definedName>
    <definedName name="_2S" hidden="1">[1]OfficeStock!#REF!</definedName>
    <definedName name="_Fill" localSheetId="6" hidden="1">'[2]Key Assumptions'!#REF!</definedName>
    <definedName name="_Fill" hidden="1">'[2]Key Assumptions'!#REF!</definedName>
    <definedName name="_Key1" localSheetId="6" hidden="1">#REF!</definedName>
    <definedName name="_Key1" hidden="1">#REF!</definedName>
    <definedName name="_Key2" localSheetId="6" hidden="1">#REF!</definedName>
    <definedName name="_Key2" hidden="1">#REF!</definedName>
    <definedName name="_Order1" hidden="1">255</definedName>
    <definedName name="_Order2" hidden="1">255</definedName>
    <definedName name="_Sort" localSheetId="6" hidden="1">#REF!</definedName>
    <definedName name="_Sort" hidden="1">#REF!</definedName>
    <definedName name="_Table2_In1" localSheetId="6" hidden="1">#REF!</definedName>
    <definedName name="_Table2_In1" hidden="1">#REF!</definedName>
    <definedName name="_Table2_In2" localSheetId="6" hidden="1">#REF!</definedName>
    <definedName name="_Table2_In2" hidden="1">#REF!</definedName>
    <definedName name="_Table2_Out" localSheetId="6" hidden="1">#REF!</definedName>
    <definedName name="_Table2_Out" hidden="1">#REF!</definedName>
    <definedName name="adf"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CCCCCCCCC" hidden="1">{FALSE,FALSE,1.75,1,600,351,FALSE,FALSE,TRUE,TRUE,0,30,#N/A,41,#N/A,9.57777777777778,18.9166666666667,1,FALSE,FALSE,1,TRUE,1,FALSE,100,"Swvu.As._.Is._.Value.","ACwvu.As._.Is._.Value.",1,FALSE,FALSE,1,1,1,1,1,"","",FALSE,FALSE,FALSE,FALSE,1,#N/A,1,1,FALSE,FALSE,FALSE,FALSE,FALSE,FALSE}</definedName>
    <definedName name="dfdf"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dfgsg"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dsthdryjcghmcg" hidden="1">{"ASS",#N/A,TRUE,"Assumptions";"OUT1",#N/A,TRUE,"1";"out2",#N/A,TRUE,"2";"out3",#N/A,TRUE,"3";"out4",#N/A,TRUE,"4";"out5",#N/A,TRUE,"5";"out6",#N/A,TRUE,"6";"out7",#N/A,TRUE,"7";"out8",#N/A,TRUE,"8";"out9",#N/A,TRUE,"9";"out10",#N/A,TRUE,"10";"out11",#N/A,TRUE,"11";"out12",#N/A,TRUE,"12";"out13",#N/A,TRUE,"13";"out14",#N/A,TRUE,"14";"out15",#N/A,TRUE,"15";"out16",#N/A,TRUE,"16";"out17",#N/A,TRUE,"17";"out18",#N/A,TRUE,"18";"out19",#N/A,TRUE,"19";"out20",#N/A,TRUE,"20";"out21",#N/A,TRUE,"21";"OUT22",#N/A,TRUE,"22";"out23",#N/A,TRUE,"23";"out24",#N/A,TRUE,"24";"out25",#N/A,TRUE,"25";"out26",#N/A,TRUE,"26";"out27",#N/A,TRUE,"27";"out28",#N/A,TRUE,"28";"out29",#N/A,TRUE,"29";"out30",#N/A,TRUE,"30";"out31",#N/A,TRUE,"31";"out32",#N/A,TRUE,"32";"out33",#N/A,TRUE,"33";"out34",#N/A,TRUE,"34";"out35",#N/A,TRUE,"35";"out36",#N/A,TRUE,"36";"out37",#N/A,TRUE,"37";"out38",#N/A,TRUE,"38";"out39",#N/A,TRUE,"39";"out40",#N/A,TRUE,"40";"out41",#N/A,TRUE,"41";"out42",#N/A,TRUE,"42";"out43",#N/A,TRUE,"43";"out44",#N/A,TRUE,"44";"out45",#N/A,TRUE,"45";"out46",#N/A,TRUE,"46";"out47",#N/A,TRUE,"47";"out48",#N/A,TRUE,"48";"out49",#N/A,TRUE,"49";"out50",#N/A,TRUE,"50";"out51",#N/A,TRUE,"51";"out52",#N/A,TRUE,"52";"out53",#N/A,TRUE,"53";"out54",#N/A,TRUE,"54";"out55",#N/A,TRUE,"55";"out56",#N/A,TRUE,"56";"out57",#N/A,TRUE,"57";"out58",#N/A,TRUE,"58"}</definedName>
    <definedName name="eret"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fgr"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fgs"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final2"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fqww"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gfd" hidden="1">{#N/A,#N/A,FALSE,"Cashflow Analysis";#N/A,#N/A,FALSE,"Sensitivity Analysis";#N/A,#N/A,FALSE,"PV";#N/A,#N/A,FALSE,"Pro Forma"}</definedName>
    <definedName name="ggf"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gh"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gs" hidden="1">{"ASS",#N/A,TRUE,"Assumptions";"OUT1",#N/A,TRUE,"1";"out2",#N/A,TRUE,"2";"out3",#N/A,TRUE,"3";"out4",#N/A,TRUE,"4";"out5",#N/A,TRUE,"5";"out6",#N/A,TRUE,"6";"out7",#N/A,TRUE,"7";"out8",#N/A,TRUE,"8";"out9",#N/A,TRUE,"9";"out10",#N/A,TRUE,"10";"out11",#N/A,TRUE,"11";"out12",#N/A,TRUE,"12";"out13",#N/A,TRUE,"13";"out14",#N/A,TRUE,"14";"out15",#N/A,TRUE,"15";"out16",#N/A,TRUE,"16";"out17",#N/A,TRUE,"17";"out18",#N/A,TRUE,"18";"out19",#N/A,TRUE,"19";"out20",#N/A,TRUE,"20";"out21",#N/A,TRUE,"21";"OUT22",#N/A,TRUE,"22";"out23",#N/A,TRUE,"23";"out24",#N/A,TRUE,"24";"out25",#N/A,TRUE,"25";"out26",#N/A,TRUE,"26";"out27",#N/A,TRUE,"27";"out28",#N/A,TRUE,"28";"out29",#N/A,TRUE,"29";"out30",#N/A,TRUE,"30";"out31",#N/A,TRUE,"31";"out32",#N/A,TRUE,"32";"out33",#N/A,TRUE,"33";"out34",#N/A,TRUE,"34";"out35",#N/A,TRUE,"35";"out36",#N/A,TRUE,"36";"out37",#N/A,TRUE,"37";"out38",#N/A,TRUE,"38";"out39",#N/A,TRUE,"39";"out40",#N/A,TRUE,"40";"out41",#N/A,TRUE,"41";"out42",#N/A,TRUE,"42";"out43",#N/A,TRUE,"43";"out44",#N/A,TRUE,"44";"out45",#N/A,TRUE,"45";"out46",#N/A,TRUE,"46";"out47",#N/A,TRUE,"47";"out48",#N/A,TRUE,"48";"out49",#N/A,TRUE,"49";"out50",#N/A,TRUE,"50";"out51",#N/A,TRUE,"51";"out52",#N/A,TRUE,"52";"out53",#N/A,TRUE,"53";"out54",#N/A,TRUE,"54";"out55",#N/A,TRUE,"55";"out56",#N/A,TRUE,"56";"out57",#N/A,TRUE,"57";"out58",#N/A,TRUE,"58"}</definedName>
    <definedName name="gss"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hrt"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IntroPrintArea" localSheetId="6" hidden="1">#REF!</definedName>
    <definedName name="IntroPrintArea" hidden="1">#REF!</definedName>
    <definedName name="Inv_Name">'Loan Summary'!$D$5</definedName>
    <definedName name="Inv_Number">'Loan Summary'!$H$5</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XCL_SBC" hidden="1">"c3081"</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PAYOUT_RATIO" hidden="1">"c3492"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39406.6947453704</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khgkjh"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kj" hidden="1">{"CASHFLOW",#N/A,FALSE,"Northpointe"}</definedName>
    <definedName name="List_Loan_Type">OFFSET(Data!$H$5,0,0,COUNTA(Data!$H$5:$H$31),1)</definedName>
    <definedName name="List_Property_Type">OFFSET(Data!$B$6,0,0,COUNTA(Data!$B$6:$B$31),1)</definedName>
    <definedName name="LV" hidden="1">[3]Loan!$J$8/[3]Loan!$J$33</definedName>
    <definedName name="new" hidden="1">{"Investor",#N/A,FALSE,"Model";"Property",#N/A,FALSE,"Model";"Incentive Taxes",#N/A,FALSE,"Model"}</definedName>
    <definedName name="NOI" localSheetId="6">Amortization!$G$34</definedName>
    <definedName name="NOI">'Pro Forma'!$Q$34</definedName>
    <definedName name="_xlnm.Print_Area" localSheetId="6">Amortization!$B$2:$L$126</definedName>
    <definedName name="_xlnm.Print_Area" localSheetId="1">'Loan Summary'!$B$2:$H$1048576</definedName>
    <definedName name="_xlnm.Print_Area" localSheetId="3">'Loan Terms'!$B$2:$H$38</definedName>
    <definedName name="_xlnm.Print_Area" localSheetId="2">'Pro Forma'!$B$2:$V$38</definedName>
    <definedName name="_xlnm.Print_Area" localSheetId="4">'Refinance Analysis'!$B$2:$S$70</definedName>
    <definedName name="promote" hidden="1">{"Investor",#N/A,FALSE,"Model";"Property",#N/A,FALSE,"Model";"Incentive Taxes",#N/A,FALSE,"Model"}</definedName>
    <definedName name="qw" hidden="1">{"ASS",#N/A,TRUE,"Assumptions";"OUT1",#N/A,TRUE,"1";"out2",#N/A,TRUE,"2";"out3",#N/A,TRUE,"3";"out4",#N/A,TRUE,"4";"out5",#N/A,TRUE,"5";"out6",#N/A,TRUE,"6";"out7",#N/A,TRUE,"7";"out8",#N/A,TRUE,"8";"out9",#N/A,TRUE,"9";"out10",#N/A,TRUE,"10";"out11",#N/A,TRUE,"11";"out12",#N/A,TRUE,"12";"out13",#N/A,TRUE,"13";"out14",#N/A,TRUE,"14";"out15",#N/A,TRUE,"15";"out16",#N/A,TRUE,"16";"out17",#N/A,TRUE,"17";"out18",#N/A,TRUE,"18";"out19",#N/A,TRUE,"19";"out20",#N/A,TRUE,"20";"out21",#N/A,TRUE,"21";"OUT22",#N/A,TRUE,"22";"out23",#N/A,TRUE,"23";"out24",#N/A,TRUE,"24";"out25",#N/A,TRUE,"25";"out26",#N/A,TRUE,"26";"out27",#N/A,TRUE,"27";"out28",#N/A,TRUE,"28";"out29",#N/A,TRUE,"29";"out30",#N/A,TRUE,"30";"out31",#N/A,TRUE,"31";"out32",#N/A,TRUE,"32";"out33",#N/A,TRUE,"33";"out34",#N/A,TRUE,"34";"out35",#N/A,TRUE,"35";"out36",#N/A,TRUE,"36";"out37",#N/A,TRUE,"37";"out38",#N/A,TRUE,"38";"out39",#N/A,TRUE,"39";"out40",#N/A,TRUE,"40";"out41",#N/A,TRUE,"41";"out42",#N/A,TRUE,"42";"out43",#N/A,TRUE,"43";"out44",#N/A,TRUE,"44";"out45",#N/A,TRUE,"45";"out46",#N/A,TRUE,"46";"out47",#N/A,TRUE,"47";"out48",#N/A,TRUE,"48";"out49",#N/A,TRUE,"49";"out50",#N/A,TRUE,"50";"out51",#N/A,TRUE,"51";"out52",#N/A,TRUE,"52";"out53",#N/A,TRUE,"53";"out54",#N/A,TRUE,"54";"out55",#N/A,TRUE,"55";"out56",#N/A,TRUE,"56";"out57",#N/A,TRUE,"57";"out58",#N/A,TRUE,"58"}</definedName>
    <definedName name="rrr"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sdsa" hidden="1">{"ASS",#N/A,FALSE,"Assumptions";"OUT1",#N/A,FALSE,"1";"out2",#N/A,FALSE,"2";"out3",#N/A,FALSE,"3";"out4",#N/A,FALSE,"4";"out5",#N/A,FALSE,"5";"out6",#N/A,FALSE,"6";"out7",#N/A,FALSE,"7";"out8",#N/A,FALSE,"8";"out9",#N/A,FALSE,"9";"out10",#N/A,FALSE,"10";"out11",#N/A,FALSE,"11";"out12",#N/A,FALSE,"12";"out13",#N/A,FALSE,"13";"out14",#N/A,FALSE,"14";"out15",#N/A,FALSE,"15";"out16",#N/A,FALSE,"16";"out17",#N/A,FALSE,"17";"out18",#N/A,FALSE,"18";"out19",#N/A,FALSE,"19";"out20",#N/A,FALSE,"20";"out21",#N/A,FALSE,"21";"out23",#N/A,FALSE,"23";"out24",#N/A,FALSE,"24";"out25",#N/A,FALSE,"25";"out26",#N/A,FALSE,"26";"out27",#N/A,FALSE,"27";"out28",#N/A,FALSE,"28";"out29",#N/A,FALSE,"29";"out30",#N/A,FALSE,"30";"out31",#N/A,FALSE,"31";"out32",#N/A,FALSE,"32";"out33",#N/A,FALSE,"33";"out34",#N/A,FALSE,"34";"out35",#N/A,FALSE,"35";"out36",#N/A,FALSE,"36";"out37",#N/A,FALSE,"37";"out38",#N/A,FALSE,"38";"out39",#N/A,FALSE,"39";"out40",#N/A,FALSE,"40";"out41",#N/A,FALSE,"41";"out42",#N/A,FALSE,"42";"out43",#N/A,FALSE,"43";"out44",#N/A,FALSE,"44";"out45",#N/A,FALSE,"45";"out46",#N/A,FALSE,"46";"out47",#N/A,FALSE,"47";"out48",#N/A,FALSE,"48";"out49",#N/A,FALSE,"49";"out50",#N/A,FALSE,"50";"out51",#N/A,FALSE,"51";"out52",#N/A,FALSE,"52";"out53",#N/A,FALSE,"53";"out54",#N/A,FALSE,"54";"out55",#N/A,FALSE,"55";"out56",#N/A,FALSE,"56";"out57",#N/A,FALSE,"57";"out58",#N/A,FALSE,"58"}</definedName>
    <definedName name="sencount" hidden="1">1</definedName>
    <definedName name="test" hidden="1">{FALSE,FALSE,1.75,1,600,351,FALSE,FALSE,TRUE,TRUE,0,30,#N/A,41,#N/A,9.57777777777778,18.9166666666667,1,FALSE,FALSE,1,TRUE,1,FALSE,100,"Swvu.As._.Is._.Value.","ACwvu.As._.Is._.Value.",1,FALSE,FALSE,1,1,1,1,1,"","",FALSE,FALSE,FALSE,FALSE,1,#N/A,1,1,FALSE,FALSE,FALSE,FALSE,FALSE,FALSE}</definedName>
    <definedName name="test3" hidden="1">{FALSE,FALSE,1.75,1,600,351,FALSE,FALSE,TRUE,TRUE,0,30,#N/A,41,#N/A,9.57777777777778,18.9166666666667,1,FALSE,FALSE,1,TRUE,1,FALSE,100,"Swvu.As._.Is._.Value.","ACwvu.As._.Is._.Value.",1,FALSE,FALSE,1,1,1,1,1,"","",FALSE,FALSE,FALSE,FALSE,1,#N/A,1,1,FALSE,FALSE,FALSE,FALSE,FALSE,FALSE}</definedName>
    <definedName name="ttrrt" hidden="1">{"ASS",#N/A,TRUE,"Assumptions";"OUT1",#N/A,TRUE,"1";"out2",#N/A,TRUE,"2";"out3",#N/A,TRUE,"3";"out4",#N/A,TRUE,"4";"out5",#N/A,TRUE,"5";"out6",#N/A,TRUE,"6";"out7",#N/A,TRUE,"7";"out8",#N/A,TRUE,"8";"out9",#N/A,TRUE,"9";"out10",#N/A,TRUE,"10";"out11",#N/A,TRUE,"11";"out12",#N/A,TRUE,"12";"out13",#N/A,TRUE,"13";"out14",#N/A,TRUE,"14";"out15",#N/A,TRUE,"15";"out16",#N/A,TRUE,"16";"out17",#N/A,TRUE,"17";"out18",#N/A,TRUE,"18";"out19",#N/A,TRUE,"19";"out20",#N/A,TRUE,"20";"out21",#N/A,TRUE,"21";"OUT22",#N/A,TRUE,"22";"out23",#N/A,TRUE,"23";"out24",#N/A,TRUE,"24";"out25",#N/A,TRUE,"25";"out26",#N/A,TRUE,"26";"out27",#N/A,TRUE,"27";"out28",#N/A,TRUE,"28";"out29",#N/A,TRUE,"29";"out30",#N/A,TRUE,"30";"out31",#N/A,TRUE,"31";"out32",#N/A,TRUE,"32";"out33",#N/A,TRUE,"33";"out34",#N/A,TRUE,"34";"out35",#N/A,TRUE,"35";"out36",#N/A,TRUE,"36";"out37",#N/A,TRUE,"37";"out38",#N/A,TRUE,"38";"out39",#N/A,TRUE,"39";"out40",#N/A,TRUE,"40";"out41",#N/A,TRUE,"41";"out42",#N/A,TRUE,"42";"out43",#N/A,TRUE,"43";"out44",#N/A,TRUE,"44";"out45",#N/A,TRUE,"45";"out46",#N/A,TRUE,"46";"out47",#N/A,TRUE,"47";"out48",#N/A,TRUE,"48";"out49",#N/A,TRUE,"49";"out50",#N/A,TRUE,"50";"out51",#N/A,TRUE,"51";"out52",#N/A,TRUE,"52";"out53",#N/A,TRUE,"53";"out54",#N/A,TRUE,"54";"out55",#N/A,TRUE,"55";"out56",#N/A,TRUE,"56";"out57",#N/A,TRUE,"57";"out58",#N/A,TRUE,"58"}</definedName>
    <definedName name="TTTTTTTT" hidden="1">{FALSE,FALSE,1.75,1,600,351,FALSE,FALSE,TRUE,TRUE,0,30,#N/A,41,#N/A,9.57777777777778,18.9166666666667,1,FALSE,FALSE,1,TRUE,1,FALSE,100,"Swvu.As._.Is._.Value.","ACwvu.As._.Is._.Value.",1,FALSE,FALSE,1,1,1,1,1,"","",FALSE,FALSE,FALSE,FALSE,1,#N/A,1,1,FALSE,FALSE,FALSE,FALSE,FALSE,FALSE}</definedName>
    <definedName name="Unit_Type_Plural">Data!$F$5</definedName>
    <definedName name="Unit_Type_Singular">Data!$E$5</definedName>
    <definedName name="Units_NRA">'Loan Summary'!$H$9</definedName>
    <definedName name="Value" localSheetId="6">Amortization!$G$37</definedName>
    <definedName name="Value" localSheetId="4" hidden="1">{#N/A,#N/A,FALSE,"Cashflow Analysis";#N/A,#N/A,FALSE,"Sensitivity Analysis";#N/A,#N/A,FALSE,"PV";#N/A,#N/A,FALSE,"Pro Forma"}</definedName>
    <definedName name="Value">'Pro Forma'!$Q$37</definedName>
    <definedName name="value1" hidden="1">{#N/A,#N/A,FALSE,"Cashflow Analysis";#N/A,#N/A,FALSE,"Sensitivity Analysis";#N/A,#N/A,FALSE,"PV";#N/A,#N/A,FALSE,"Pro Forma"}</definedName>
    <definedName name="wrn.All._.Schedules." hidden="1">{#N/A,#N/A,FALSE,"CF Consolidated 2";#N/A,#N/A,FALSE,"Retail Assump";#N/A,#N/A,FALSE,"CF Retail";#N/A,#N/A,FALSE,"Garage Assumpt 1";#N/A,#N/A,FALSE,"Garage Op Proj";#N/A,#N/A,FALSE,"Hist I&amp;E";#N/A,#N/A,FALSE,"Rent Roll";#N/A,#N/A,FALSE,"RE Taxes";#N/A,#N/A,FALSE,"CAM - BH";#N/A,#N/A,FALSE,"Comm.Condo CAM"}</definedName>
    <definedName name="wrn.Atrium." hidden="1">{"Atrium-Investor",#N/A,FALSE,"Atrium";"Atrium-Property",#N/A,FALSE,"Atrium"}</definedName>
    <definedName name="wrn.Binder." hidden="1">{"Summary",#N/A,TRUE,"Summary";"Leasing",#N/A,TRUE,"Lease";"Expenses",#N/A,TRUE,"Lease";"Development",#N/A,TRUE,"Development";"CFlow",#N/A,TRUE,"5 Year"}</definedName>
    <definedName name="wrn.BofA." hidden="1">{"BofA-Investor",#N/A,FALSE,"BofA Tower";"BofA-Property",#N/A,FALSE,"BofA Tower"}</definedName>
    <definedName name="wrn.Cash._.Flow._.and._.Matrix." hidden="1">{#N/A,#N/A,FALSE,"Matrix";#N/A,#N/A,FALSE,"Cash Flow";#N/A,#N/A,FALSE,"10 Year Cost Analysis"}</definedName>
    <definedName name="wrn.CASH._.FLOWS._.ONLY." hidden="1">{#N/A,#N/A,FALSE,"Assumptions";#N/A,#N/A,FALSE,"Consol CF";#N/A,#N/A,FALSE,"Hacienda CF";#N/A,#N/A,FALSE,"Chabot CF";#N/A,#N/A,FALSE,"Diablo CF"}</definedName>
    <definedName name="wrn.DCF." hidden="1">{#N/A,#N/A,FALSE,"DCF-COM";#N/A,#N/A,FALSE,"VAC-COM"}</definedName>
    <definedName name="wrn.Final." hidden="1">{"print",#N/A,TRUE,"jec1";"print",#N/A,TRUE,"jec2";"print",#N/A,TRUE,"jec3";"print",#N/A,TRUE,"jec4";"print",#N/A,TRUE,"jec5";"print",#N/A,TRUE,"jec6";"print",#N/A,TRUE,"jec7";"print",#N/A,TRUE,"jec8";"print",#N/A,TRUE,"jec9";"print",#N/A,TRUE,"jec10";"print",#N/A,TRUE,"jec11";"print",#N/A,TRUE,"jec12";"print",#N/A,TRUE,"jec13";"print",#N/A,TRUE,"jec14";"print",#N/A,TRUE,"jec15";"print",#N/A,TRUE,"jec16";"print",#N/A,TRUE,"jec17";"print",#N/A,TRUE,"jec18"}</definedName>
    <definedName name="wrn.FinalMort." hidden="1">{"ASS",#N/A,TRUE,"Assumptions";"OUT1",#N/A,TRUE,"1";"out2",#N/A,TRUE,"2";"out3",#N/A,TRUE,"3";"out4",#N/A,TRUE,"4";"out5",#N/A,TRUE,"5";"out6",#N/A,TRUE,"6";"out7",#N/A,TRUE,"7";"out8",#N/A,TRUE,"8";"out9",#N/A,TRUE,"9";"out10",#N/A,TRUE,"10";"out11",#N/A,TRUE,"11";"out12",#N/A,TRUE,"12";"out13",#N/A,TRUE,"13";"out14",#N/A,TRUE,"14";"out15",#N/A,TRUE,"15";"out16",#N/A,TRUE,"16";"out17",#N/A,TRUE,"17";"out18",#N/A,TRUE,"18";"out19",#N/A,TRUE,"19";"out20",#N/A,TRUE,"20";"out21",#N/A,TRUE,"21";"OUT22",#N/A,TRUE,"22";"out23",#N/A,TRUE,"23";"out24",#N/A,TRUE,"24";"out25",#N/A,TRUE,"25";"out26",#N/A,TRUE,"26";"out27",#N/A,TRUE,"27";"out28",#N/A,TRUE,"28";"out29",#N/A,TRUE,"29";"out30",#N/A,TRUE,"30";"out31",#N/A,TRUE,"31";"out32",#N/A,TRUE,"32";"out33",#N/A,TRUE,"33";"out34",#N/A,TRUE,"34";"out35",#N/A,TRUE,"35";"out36",#N/A,TRUE,"36";"out37",#N/A,TRUE,"37";"out38",#N/A,TRUE,"38";"out39",#N/A,TRUE,"39";"out40",#N/A,TRUE,"40";"out41",#N/A,TRUE,"41";"out42",#N/A,TRUE,"42";"out43",#N/A,TRUE,"43";"out44",#N/A,TRUE,"44";"out45",#N/A,TRUE,"45";"out46",#N/A,TRUE,"46";"out47",#N/A,TRUE,"47";"out48",#N/A,TRUE,"48";"out49",#N/A,TRUE,"49";"out50",#N/A,TRUE,"50";"out51",#N/A,TRUE,"51";"out52",#N/A,TRUE,"52";"out53",#N/A,TRUE,"53";"out54",#N/A,TRUE,"54";"out55",#N/A,TRUE,"55";"out56",#N/A,TRUE,"56";"out57",#N/A,TRUE,"57";"out58",#N/A,TRUE,"58"}</definedName>
    <definedName name="wrn.Garage." hidden="1">{#N/A,#N/A,FALSE,"Garage Assumpt 1";#N/A,#N/A,FALSE,"Garage Op Proj";#N/A,#N/A,FALSE,"Hist I&amp;E";#N/A,#N/A,FALSE,"Garage Lease"}</definedName>
    <definedName name="wrn.Hightower." hidden="1">{"Hightower-Investor",#N/A,FALSE,"Hightower";"Hightower-Property",#N/A,FALSE,"Hightower"}</definedName>
    <definedName name="wrn.III." hidden="1">{"CASHFLOW",#N/A,FALSE,"Northpointe"}</definedName>
    <definedName name="wrn.Income._.Statements."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Lease._.Rpts." hidden="1">{"Lease1",#N/A,FALSE,"Lease";"Lease2",#N/A,FALSE,"Lease";"Lease3",#N/A,FALSE,"Lease";"Dev Costs",#N/A,FALSE,"Development"}</definedName>
    <definedName name="wrn.MATRICES._.and._.CFs." hidden="1">{#N/A,#N/A,FALSE,"Assumptions";#N/A,#N/A,FALSE,"Consol CF";#N/A,#N/A,FALSE,"matx B4 DS";#N/A,#N/A,FALSE,"Hacienda CF";#N/A,#N/A,FALSE,"matx B4 DS Hac";#N/A,#N/A,FALSE,"Chabot CF";#N/A,#N/A,FALSE,"matx B4 DS Chabot";#N/A,#N/A,FALSE,"Diablo CF";#N/A,#N/A,FALSE,"matx B4 DS Diablo"}</definedName>
    <definedName name="wrn.MATRICIES._.ONLY." hidden="1">{#N/A,#N/A,FALSE,"matx B4 DS";#N/A,#N/A,FALSE,"matx B4 DS Hac";#N/A,#N/A,FALSE,"matx B4 DS Chabot";#N/A,#N/A,FALSE,"matx B4 DS Diablo"}</definedName>
    <definedName name="wrn.Model." hidden="1">{"Investor",#N/A,FALSE,"Model";"Property",#N/A,FALSE,"Model";"Incentive Taxes",#N/A,FALSE,"Model"}</definedName>
    <definedName name="wrn.model2." hidden="1">{"Investor",#N/A,FALSE,"Model";"Property",#N/A,FALSE,"Model";"Incentive Taxes",#N/A,FALSE,"Model"}</definedName>
    <definedName name="wrn.Pavilion." hidden="1">{"Pavilion-Investor",#N/A,FALSE,"Pavilion";"Pavilion-Property",#N/A,FALSE,"Pavilion"}</definedName>
    <definedName name="wrn.Print." hidden="1">{#N/A,#N/A,TRUE,"Cerritos Gardens";#N/A,#N/A,TRUE,"Cerritos Gardens Plus .5%";#N/A,#N/A,TRUE,"Corte Bella";#N/A,#N/A,TRUE,"Corte Bella Plus .05%";#N/A,#N/A,TRUE,"Crystal Springs";#N/A,#N/A,TRUE,"Crystal Springs Plus .05%"}</definedName>
    <definedName name="wrn.Pro._.Forma." hidden="1">{#N/A,#N/A,FALSE,"ACQ";#N/A,#N/A,FALSE,"ASSUMP";#N/A,#N/A,FALSE,"CASH FLOW";#N/A,#N/A,FALSE,"SALE";#N/A,#N/A,FALSE,"TIS";#N/A,#N/A,FALSE,"RENT ROLL"}</definedName>
    <definedName name="wrn.Projections." hidden="1">{#N/A,#N/A,FALSE,"Release Price";#N/A,#N/A,FALSE,"Cash flow for 50 Unit";#N/A,#N/A,FALSE,"Cash Flow for 3 Models"}</definedName>
    <definedName name="wrn.Rapport." hidden="1">{#N/A,#N/A,FALSE,"SHEET1";#N/A,#N/A,FALSE,"SHEET2";#N/A,#N/A,FALSE,"SHEET3";#N/A,#N/A,FALSE,"SHEET4"}</definedName>
    <definedName name="wrn.SouthTrust." hidden="1">{"SouthTrust-Investor",#N/A,FALSE,"SouthTrust";"SouthTrust-Property",#N/A,FALSE,"SouthTrust"}</definedName>
    <definedName name="wrn.Sugar." hidden="1">{"Sugar-Investor",#N/A,FALSE,"Sugar";"Sugar-Property",#N/A,FALSE,"Sugar"}</definedName>
    <definedName name="wrn.The._.Rock." hidden="1">{"1",#N/A,TRUE,"1";"2",#N/A,TRUE,"2";"3",#N/A,TRUE,"3";"4",#N/A,TRUE,"4";"5",#N/A,TRUE,"5";"6",#N/A,TRUE,"6";"7",#N/A,TRUE,"7";"8",#N/A,TRUE,"8";"9",#N/A,TRUE,"9";"10",#N/A,TRUE,"10";"11",#N/A,TRUE,"11";"12",#N/A,TRUE,"12";"13",#N/A,TRUE,"13";"14",#N/A,TRUE,"14";"15",#N/A,TRUE,"15";"16",#N/A,TRUE,"16";"17",#N/A,TRUE,"17";"18",#N/A,TRUE,"18";"19",#N/A,TRUE,"19";"20",#N/A,TRUE,"20";"21",#N/A,TRUE,"21";"22",#N/A,TRUE,"22";"23",#N/A,TRUE,"23";"24",#N/A,TRUE,"24";"25",#N/A,TRUE,"25";"26",#N/A,TRUE,"26";"27",#N/A,TRUE,"27";"28",#N/A,TRUE,"28";"29",#N/A,TRUE,"29";"30",#N/A,TRUE,"30";"31",#N/A,TRUE,"31";"32",#N/A,TRUE,"32";"33",#N/A,TRUE,"33";"34",#N/A,TRUE,"34";"35",#N/A,TRUE,"35";"36",#N/A,TRUE,"36";"37",#N/A,TRUE,"37";"38",#N/A,TRUE,"38";"39",#N/A,TRUE,"39";"40",#N/A,TRUE,"40";"41",#N/A,TRUE,"41";"42",#N/A,TRUE,"42";"43",#N/A,TRUE,"43";"44",#N/A,TRUE,"44";"45",#N/A,TRUE,"45";"46",#N/A,TRUE,"46";"47",#N/A,TRUE,"47";"48",#N/A,TRUE,"48";"49",#N/A,TRUE,"49";"50",#N/A,TRUE,"50";"51",#N/A,TRUE,"51"}</definedName>
    <definedName name="wrn.Total." hidden="1">{"Industrial",#N/A,FALSE,"Thumb";"Office",#N/A,FALSE,"Thumb";"Retail",#N/A,FALSE,"Thumb"}</definedName>
    <definedName name="wrn.TownPoint." hidden="1">{"Townpoint-Investor",#N/A,FALSE,"TownPoint";"Townpoint-Property",#N/A,FALSE,"TownPoint"}</definedName>
    <definedName name="wrn.Value." hidden="1">{#N/A,#N/A,FALSE,"Cashflow Analysis";#N/A,#N/A,FALSE,"Sensitivity Analysis";#N/A,#N/A,FALSE,"PV";#N/A,#N/A,FALSE,"Pro Forma"}</definedName>
    <definedName name="wvu.As._.Is._.Value." hidden="1">{FALSE,FALSE,1.75,1,600,351,FALSE,FALSE,TRUE,TRUE,0,30,#N/A,41,#N/A,9.57777777777778,18.9166666666667,1,FALSE,FALSE,1,TRUE,1,FALSE,100,"Swvu.As._.Is._.Value.","ACwvu.As._.Is._.Value.",1,FALSE,FALSE,1,1,1,1,1,"","",FALSE,FALSE,FALSE,FALSE,1,#N/A,1,1,FALSE,FALSE,FALSE,FALSE,FALSE,FALSE}</definedName>
    <definedName name="ww" hidden="1">{"ASS",#N/A,TRUE,"Assumptions";"OUT1",#N/A,TRUE,"1";"out2",#N/A,TRUE,"2";"out3",#N/A,TRUE,"3";"out4",#N/A,TRUE,"4";"out5",#N/A,TRUE,"5";"out6",#N/A,TRUE,"6";"out7",#N/A,TRUE,"7";"out8",#N/A,TRUE,"8";"out9",#N/A,TRUE,"9";"out10",#N/A,TRUE,"10";"out11",#N/A,TRUE,"11";"out12",#N/A,TRUE,"12";"out13",#N/A,TRUE,"13";"out14",#N/A,TRUE,"14";"out15",#N/A,TRUE,"15";"out16",#N/A,TRUE,"16";"out17",#N/A,TRUE,"17";"out18",#N/A,TRUE,"18";"out19",#N/A,TRUE,"19";"out20",#N/A,TRUE,"20";"out21",#N/A,TRUE,"21";"OUT22",#N/A,TRUE,"22";"out23",#N/A,TRUE,"23";"out24",#N/A,TRUE,"24";"out25",#N/A,TRUE,"25";"out26",#N/A,TRUE,"26";"out27",#N/A,TRUE,"27";"out28",#N/A,TRUE,"28";"out29",#N/A,TRUE,"29";"out30",#N/A,TRUE,"30";"out31",#N/A,TRUE,"31";"out32",#N/A,TRUE,"32";"out33",#N/A,TRUE,"33";"out34",#N/A,TRUE,"34";"out35",#N/A,TRUE,"35";"out36",#N/A,TRUE,"36";"out37",#N/A,TRUE,"37";"out38",#N/A,TRUE,"38";"out39",#N/A,TRUE,"39";"out40",#N/A,TRUE,"40";"out41",#N/A,TRUE,"41";"out42",#N/A,TRUE,"42";"out43",#N/A,TRUE,"43";"out44",#N/A,TRUE,"44";"out45",#N/A,TRUE,"45";"out46",#N/A,TRUE,"46";"out47",#N/A,TRUE,"47";"out48",#N/A,TRUE,"48";"out49",#N/A,TRUE,"49";"out50",#N/A,TRUE,"50";"out51",#N/A,TRUE,"51";"out52",#N/A,TRUE,"52";"out53",#N/A,TRUE,"53";"out54",#N/A,TRUE,"54";"out55",#N/A,TRUE,"55";"out56",#N/A,TRUE,"56";"out57",#N/A,TRUE,"57";"out58",#N/A,TRUE,"58"}</definedName>
    <definedName name="x" hidden="1">{#N/A,#N/A,FALSE,"Cashflow Analysis";#N/A,#N/A,FALSE,"Sensitivity Analysis";#N/A,#N/A,FALSE,"PV";#N/A,#N/A,FALSE,"Pro Forma"}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5" i="2" l="1"/>
  <c r="N3" i="10" l="1"/>
  <c r="J4" i="3"/>
  <c r="G4" i="3" s="1"/>
  <c r="F31" i="3"/>
  <c r="F30" i="3"/>
  <c r="F29" i="3"/>
  <c r="F27" i="3"/>
  <c r="F26" i="3"/>
  <c r="F25" i="3"/>
  <c r="F24" i="3"/>
  <c r="F23" i="3"/>
  <c r="F22" i="3"/>
  <c r="F21" i="3"/>
  <c r="F20" i="3"/>
  <c r="F19" i="3"/>
  <c r="G15" i="3"/>
  <c r="F14" i="3"/>
  <c r="F13" i="3"/>
  <c r="F12" i="3"/>
  <c r="F11" i="3"/>
  <c r="F15" i="3" s="1"/>
  <c r="G9" i="3"/>
  <c r="G17" i="3" s="1"/>
  <c r="F8" i="3"/>
  <c r="F9" i="3" s="1"/>
  <c r="E8" i="3"/>
  <c r="F7" i="3"/>
  <c r="E7" i="3"/>
  <c r="F6" i="3"/>
  <c r="E6" i="3"/>
  <c r="F5" i="3"/>
  <c r="F4" i="3"/>
  <c r="I31" i="3"/>
  <c r="I30" i="3"/>
  <c r="I29" i="3"/>
  <c r="I27" i="3"/>
  <c r="I26" i="3"/>
  <c r="I25" i="3"/>
  <c r="I24" i="3"/>
  <c r="I23" i="3"/>
  <c r="I22" i="3"/>
  <c r="I21" i="3"/>
  <c r="I20" i="3"/>
  <c r="I19" i="3"/>
  <c r="J15" i="3"/>
  <c r="I14" i="3"/>
  <c r="I13" i="3"/>
  <c r="I12" i="3"/>
  <c r="I11" i="3"/>
  <c r="J9" i="3"/>
  <c r="H14" i="3" s="1"/>
  <c r="I8" i="3"/>
  <c r="H8" i="3"/>
  <c r="I7" i="3"/>
  <c r="H7" i="3"/>
  <c r="I6" i="3"/>
  <c r="H6" i="3"/>
  <c r="I5" i="3"/>
  <c r="I4" i="3"/>
  <c r="T4" i="11"/>
  <c r="C30" i="12"/>
  <c r="B30" i="12"/>
  <c r="H20" i="12"/>
  <c r="F11" i="12"/>
  <c r="B24" i="12"/>
  <c r="B23" i="12"/>
  <c r="B22" i="12"/>
  <c r="B21" i="12"/>
  <c r="B20" i="12"/>
  <c r="B19" i="12"/>
  <c r="B18" i="12"/>
  <c r="B17" i="12"/>
  <c r="B16" i="12"/>
  <c r="H12" i="12"/>
  <c r="H15" i="12" s="1"/>
  <c r="H16" i="12" s="1"/>
  <c r="H3" i="12"/>
  <c r="B3" i="12"/>
  <c r="G28" i="3" l="1"/>
  <c r="F17" i="3"/>
  <c r="E14" i="3"/>
  <c r="I15" i="3"/>
  <c r="J17" i="3"/>
  <c r="J28" i="3" s="1"/>
  <c r="I9" i="3"/>
  <c r="F18" i="12"/>
  <c r="G16" i="12"/>
  <c r="F16" i="12"/>
  <c r="K8" i="3"/>
  <c r="K7" i="3"/>
  <c r="K6" i="3"/>
  <c r="L31" i="3"/>
  <c r="L30" i="3"/>
  <c r="L29" i="3"/>
  <c r="L27" i="3"/>
  <c r="L26" i="3"/>
  <c r="L25" i="3"/>
  <c r="L24" i="3"/>
  <c r="L23" i="3"/>
  <c r="L22" i="3"/>
  <c r="L21" i="3"/>
  <c r="L20" i="3"/>
  <c r="L19" i="3"/>
  <c r="L14" i="3"/>
  <c r="L13" i="3"/>
  <c r="L12" i="3"/>
  <c r="L11" i="3"/>
  <c r="L8" i="3"/>
  <c r="L7" i="3"/>
  <c r="L6" i="3"/>
  <c r="L5" i="3"/>
  <c r="M15" i="3"/>
  <c r="M9" i="3"/>
  <c r="K14" i="3" s="1"/>
  <c r="D5" i="11"/>
  <c r="D5" i="9"/>
  <c r="C16" i="2"/>
  <c r="G11" i="2"/>
  <c r="G10" i="2"/>
  <c r="G9" i="2"/>
  <c r="B6" i="11"/>
  <c r="L3" i="11"/>
  <c r="B3" i="11"/>
  <c r="G32" i="3" l="1"/>
  <c r="F28" i="3"/>
  <c r="F32" i="3" s="1"/>
  <c r="F34" i="3" s="1"/>
  <c r="I17" i="3"/>
  <c r="I28" i="3"/>
  <c r="I32" i="3" s="1"/>
  <c r="J32" i="3"/>
  <c r="M17" i="3"/>
  <c r="M28" i="3" s="1"/>
  <c r="L28" i="3" s="1"/>
  <c r="L32" i="3" s="1"/>
  <c r="B31" i="12"/>
  <c r="C31" i="12" s="1"/>
  <c r="F17" i="12" a="1"/>
  <c r="F17" i="12" s="1"/>
  <c r="G17" i="12" a="1"/>
  <c r="G17" i="12" s="1"/>
  <c r="L15" i="3"/>
  <c r="C6" i="11"/>
  <c r="L9" i="3"/>
  <c r="B7" i="11"/>
  <c r="E6" i="11"/>
  <c r="D6" i="11"/>
  <c r="E39" i="9"/>
  <c r="E32" i="3" l="1"/>
  <c r="G34" i="3"/>
  <c r="I34" i="3"/>
  <c r="H32" i="3"/>
  <c r="J34" i="3"/>
  <c r="L17" i="3"/>
  <c r="L34" i="3" s="1"/>
  <c r="M32" i="3"/>
  <c r="K32" i="3" s="1"/>
  <c r="B32" i="12"/>
  <c r="C32" i="12" s="1"/>
  <c r="D7" i="11"/>
  <c r="S7" i="11" s="1"/>
  <c r="S6" i="11"/>
  <c r="H17" i="12" a="1"/>
  <c r="H17" i="12" s="1"/>
  <c r="H18" i="12" s="1"/>
  <c r="H19" i="12" s="1"/>
  <c r="C7" i="11"/>
  <c r="B8" i="11"/>
  <c r="E7" i="11"/>
  <c r="S3" i="9"/>
  <c r="E38" i="9"/>
  <c r="E40" i="9" s="1"/>
  <c r="E25" i="9" s="1"/>
  <c r="T48" i="9"/>
  <c r="T66" i="9"/>
  <c r="B66" i="9" s="1"/>
  <c r="E30" i="9"/>
  <c r="E27" i="9"/>
  <c r="E26" i="9"/>
  <c r="E22" i="9"/>
  <c r="E5" i="9"/>
  <c r="E11" i="9"/>
  <c r="F4" i="9"/>
  <c r="B3" i="9"/>
  <c r="G44" i="9"/>
  <c r="T55" i="9" s="1"/>
  <c r="B55" i="9" s="1"/>
  <c r="E45" i="9"/>
  <c r="T54" i="9"/>
  <c r="B54" i="9" s="1"/>
  <c r="T60" i="9"/>
  <c r="B60" i="9" s="1"/>
  <c r="M34" i="3" l="1"/>
  <c r="B33" i="12"/>
  <c r="C33" i="12" s="1"/>
  <c r="U6" i="11"/>
  <c r="V6" i="11" s="1"/>
  <c r="U7" i="11"/>
  <c r="V7" i="11" s="1"/>
  <c r="H21" i="12"/>
  <c r="H22" i="12" s="1"/>
  <c r="F38" i="9"/>
  <c r="C8" i="11"/>
  <c r="B9" i="11"/>
  <c r="E8" i="11"/>
  <c r="D8" i="11"/>
  <c r="S8" i="11" s="1"/>
  <c r="T49" i="9"/>
  <c r="F30" i="9"/>
  <c r="F27" i="9"/>
  <c r="F39" i="9"/>
  <c r="F26" i="9"/>
  <c r="F5" i="9"/>
  <c r="F22" i="9"/>
  <c r="F11" i="9"/>
  <c r="T67" i="9"/>
  <c r="B67" i="9" s="1"/>
  <c r="G4" i="9"/>
  <c r="T61" i="9"/>
  <c r="B61" i="9" s="1"/>
  <c r="F45" i="9"/>
  <c r="H44" i="9"/>
  <c r="T50" i="9" s="1"/>
  <c r="B48" i="9"/>
  <c r="B17" i="1"/>
  <c r="B16" i="1"/>
  <c r="B15" i="1"/>
  <c r="D23" i="1"/>
  <c r="D22" i="1"/>
  <c r="D21" i="1"/>
  <c r="H17" i="2"/>
  <c r="E33" i="2" s="1"/>
  <c r="H6" i="2"/>
  <c r="D16" i="1" s="1"/>
  <c r="F29" i="1"/>
  <c r="K3" i="8"/>
  <c r="B5" i="8"/>
  <c r="F5" i="8" s="1"/>
  <c r="F9" i="1" s="1"/>
  <c r="B3" i="8"/>
  <c r="O8" i="3"/>
  <c r="O7" i="3"/>
  <c r="O6" i="3"/>
  <c r="P31" i="3"/>
  <c r="P30" i="3"/>
  <c r="P29" i="3"/>
  <c r="P27" i="3"/>
  <c r="P26" i="3"/>
  <c r="P25" i="3"/>
  <c r="P24" i="3"/>
  <c r="P23" i="3"/>
  <c r="P22" i="3"/>
  <c r="P21" i="3"/>
  <c r="P20" i="3"/>
  <c r="P19" i="3"/>
  <c r="P14" i="3"/>
  <c r="P13" i="3"/>
  <c r="P12" i="3"/>
  <c r="P11" i="3"/>
  <c r="P8" i="3"/>
  <c r="P7" i="3"/>
  <c r="P6" i="3"/>
  <c r="P5" i="3"/>
  <c r="V3" i="3"/>
  <c r="G31" i="1"/>
  <c r="G30" i="1"/>
  <c r="Q15" i="3"/>
  <c r="Q9" i="3"/>
  <c r="O14" i="3" s="1"/>
  <c r="B3" i="1"/>
  <c r="B3" i="2"/>
  <c r="B3" i="3"/>
  <c r="H3" i="2"/>
  <c r="H3" i="1"/>
  <c r="F7" i="11" l="1"/>
  <c r="F6" i="11"/>
  <c r="F40" i="9"/>
  <c r="F25" i="9" s="1"/>
  <c r="B34" i="12"/>
  <c r="C34" i="12" s="1"/>
  <c r="U8" i="11"/>
  <c r="V8" i="11" s="1"/>
  <c r="F8" i="11" s="1"/>
  <c r="G38" i="9"/>
  <c r="C9" i="11"/>
  <c r="D9" i="11"/>
  <c r="S9" i="11" s="1"/>
  <c r="B10" i="11"/>
  <c r="E9" i="11"/>
  <c r="D24" i="1"/>
  <c r="G5" i="9"/>
  <c r="G45" i="9"/>
  <c r="G22" i="9"/>
  <c r="G26" i="9"/>
  <c r="G30" i="9"/>
  <c r="G27" i="9"/>
  <c r="G39" i="9"/>
  <c r="G11" i="9"/>
  <c r="T62" i="9"/>
  <c r="B62" i="9" s="1"/>
  <c r="T68" i="9"/>
  <c r="B68" i="9" s="1"/>
  <c r="H4" i="9"/>
  <c r="I44" i="9"/>
  <c r="T56" i="9"/>
  <c r="B56" i="9" s="1"/>
  <c r="H32" i="1"/>
  <c r="G29" i="1"/>
  <c r="P9" i="3"/>
  <c r="P15" i="3"/>
  <c r="E5" i="8"/>
  <c r="Q17" i="3"/>
  <c r="H15" i="1" s="1"/>
  <c r="B35" i="12" l="1"/>
  <c r="C35" i="12" s="1"/>
  <c r="U9" i="11"/>
  <c r="V9" i="11" s="1"/>
  <c r="F9" i="11" s="1"/>
  <c r="G40" i="9"/>
  <c r="G25" i="9" s="1"/>
  <c r="H38" i="9"/>
  <c r="C10" i="11"/>
  <c r="C14" i="1"/>
  <c r="L4" i="3"/>
  <c r="D10" i="11"/>
  <c r="S10" i="11" s="1"/>
  <c r="B11" i="11"/>
  <c r="E10" i="11"/>
  <c r="H45" i="9"/>
  <c r="H5" i="9"/>
  <c r="T57" i="9"/>
  <c r="B57" i="9" s="1"/>
  <c r="T51" i="9"/>
  <c r="J44" i="9"/>
  <c r="T52" i="9" s="1"/>
  <c r="H39" i="9"/>
  <c r="H26" i="9"/>
  <c r="H30" i="9"/>
  <c r="H27" i="9"/>
  <c r="H22" i="9"/>
  <c r="H11" i="9"/>
  <c r="T63" i="9"/>
  <c r="B63" i="9" s="1"/>
  <c r="T69" i="9"/>
  <c r="B69" i="9" s="1"/>
  <c r="B49" i="9"/>
  <c r="I4" i="9"/>
  <c r="B50" i="9"/>
  <c r="G32" i="1"/>
  <c r="C19" i="1"/>
  <c r="G28" i="1"/>
  <c r="G4" i="2"/>
  <c r="G25" i="2"/>
  <c r="P17" i="3"/>
  <c r="P4" i="3"/>
  <c r="B4" i="3"/>
  <c r="Q28" i="3"/>
  <c r="P28" i="3" s="1"/>
  <c r="P32" i="3" s="1"/>
  <c r="B36" i="12" l="1"/>
  <c r="C36" i="12" s="1"/>
  <c r="H40" i="9"/>
  <c r="H25" i="9" s="1"/>
  <c r="U10" i="11"/>
  <c r="V10" i="11" s="1"/>
  <c r="F10" i="11" s="1"/>
  <c r="C11" i="11"/>
  <c r="T64" i="9"/>
  <c r="B64" i="9" s="1"/>
  <c r="T58" i="9"/>
  <c r="B58" i="9" s="1"/>
  <c r="T70" i="9"/>
  <c r="B70" i="9" s="1"/>
  <c r="D11" i="11"/>
  <c r="S11" i="11" s="1"/>
  <c r="B12" i="11"/>
  <c r="E11" i="11"/>
  <c r="I45" i="9"/>
  <c r="I38" i="9"/>
  <c r="P34" i="3"/>
  <c r="B51" i="9"/>
  <c r="I30" i="9"/>
  <c r="I27" i="9"/>
  <c r="I22" i="9"/>
  <c r="I11" i="9"/>
  <c r="I26" i="9"/>
  <c r="I39" i="9"/>
  <c r="I5" i="9"/>
  <c r="J4" i="9"/>
  <c r="B52" i="9"/>
  <c r="Q32" i="3"/>
  <c r="H16" i="1" s="1"/>
  <c r="B37" i="12" l="1"/>
  <c r="C37" i="12" s="1"/>
  <c r="U11" i="11"/>
  <c r="V11" i="11" s="1"/>
  <c r="F11" i="11" s="1"/>
  <c r="I40" i="9"/>
  <c r="I25" i="9" s="1"/>
  <c r="J38" i="9"/>
  <c r="C12" i="11"/>
  <c r="D12" i="11"/>
  <c r="S12" i="11" s="1"/>
  <c r="B13" i="11"/>
  <c r="E12" i="11"/>
  <c r="J45" i="9"/>
  <c r="J5" i="9"/>
  <c r="J22" i="9"/>
  <c r="J11" i="9"/>
  <c r="J27" i="9"/>
  <c r="J26" i="9"/>
  <c r="J30" i="9"/>
  <c r="J39" i="9"/>
  <c r="K4" i="9"/>
  <c r="O32" i="3"/>
  <c r="Q34" i="3"/>
  <c r="B38" i="12" l="1"/>
  <c r="C38" i="12" s="1"/>
  <c r="U12" i="11"/>
  <c r="V12" i="11" s="1"/>
  <c r="F12" i="11" s="1"/>
  <c r="J40" i="9"/>
  <c r="J25" i="9" s="1"/>
  <c r="K38" i="9"/>
  <c r="C13" i="11"/>
  <c r="D13" i="11"/>
  <c r="S13" i="11" s="1"/>
  <c r="B14" i="11"/>
  <c r="E13" i="11"/>
  <c r="E6" i="9"/>
  <c r="Q37" i="3"/>
  <c r="H17" i="1"/>
  <c r="H5" i="2"/>
  <c r="K5" i="9"/>
  <c r="K45" i="9"/>
  <c r="K11" i="9"/>
  <c r="K30" i="9"/>
  <c r="K27" i="9"/>
  <c r="K22" i="9"/>
  <c r="K26" i="9"/>
  <c r="K39" i="9"/>
  <c r="L4" i="9"/>
  <c r="B39" i="12" l="1"/>
  <c r="C39" i="12" s="1"/>
  <c r="U13" i="11"/>
  <c r="V13" i="11" s="1"/>
  <c r="F13" i="11" s="1"/>
  <c r="K40" i="9"/>
  <c r="K25" i="9" s="1"/>
  <c r="C14" i="11"/>
  <c r="D14" i="11"/>
  <c r="S14" i="11" s="1"/>
  <c r="B15" i="11"/>
  <c r="E14" i="11"/>
  <c r="E35" i="2"/>
  <c r="G5" i="2"/>
  <c r="D15" i="1"/>
  <c r="E34" i="2"/>
  <c r="P37" i="3"/>
  <c r="H7" i="2"/>
  <c r="L45" i="9"/>
  <c r="L38" i="9"/>
  <c r="E48" i="9"/>
  <c r="F6" i="9"/>
  <c r="E49" i="9"/>
  <c r="E46" i="9"/>
  <c r="E50" i="9"/>
  <c r="E52" i="9"/>
  <c r="E51" i="9"/>
  <c r="L5" i="9"/>
  <c r="L11" i="9"/>
  <c r="L26" i="9"/>
  <c r="L22" i="9"/>
  <c r="L30" i="9"/>
  <c r="L27" i="9"/>
  <c r="L39" i="9"/>
  <c r="M4" i="9"/>
  <c r="H37" i="2" l="1"/>
  <c r="H26" i="2" s="1"/>
  <c r="B40" i="12"/>
  <c r="C40" i="12" s="1"/>
  <c r="U14" i="11"/>
  <c r="V14" i="11" s="1"/>
  <c r="F14" i="11" s="1"/>
  <c r="C15" i="11"/>
  <c r="D15" i="11"/>
  <c r="S15" i="11" s="1"/>
  <c r="B16" i="11"/>
  <c r="E15" i="11"/>
  <c r="L40" i="9"/>
  <c r="L25" i="9" s="1"/>
  <c r="E12" i="9"/>
  <c r="G6" i="9"/>
  <c r="F46" i="9"/>
  <c r="E31" i="9"/>
  <c r="F49" i="9"/>
  <c r="F50" i="9"/>
  <c r="F48" i="9"/>
  <c r="F52" i="9"/>
  <c r="F51" i="9"/>
  <c r="M45" i="9"/>
  <c r="M38" i="9"/>
  <c r="E28" i="9"/>
  <c r="E36" i="2"/>
  <c r="G7" i="2"/>
  <c r="D17" i="1"/>
  <c r="C17" i="1" s="1"/>
  <c r="M5" i="9"/>
  <c r="M11" i="9"/>
  <c r="M26" i="9"/>
  <c r="M30" i="9"/>
  <c r="M27" i="9"/>
  <c r="M22" i="9"/>
  <c r="M39" i="9"/>
  <c r="N4" i="9"/>
  <c r="B41" i="12" l="1"/>
  <c r="C41" i="12" s="1"/>
  <c r="U15" i="11"/>
  <c r="V15" i="11" s="1"/>
  <c r="F15" i="11" s="1"/>
  <c r="N38" i="9"/>
  <c r="C16" i="11"/>
  <c r="D16" i="11"/>
  <c r="S16" i="11" s="1"/>
  <c r="B17" i="11"/>
  <c r="E16" i="11"/>
  <c r="E23" i="9"/>
  <c r="E33" i="9" s="1"/>
  <c r="G49" i="9"/>
  <c r="G46" i="9"/>
  <c r="H6" i="9"/>
  <c r="G28" i="9" s="1"/>
  <c r="F31" i="9"/>
  <c r="G48" i="9"/>
  <c r="G50" i="9"/>
  <c r="G52" i="9"/>
  <c r="G51" i="9"/>
  <c r="F12" i="9"/>
  <c r="F28" i="9"/>
  <c r="M40" i="9"/>
  <c r="M25" i="9" s="1"/>
  <c r="N5" i="9"/>
  <c r="N30" i="9"/>
  <c r="N27" i="9"/>
  <c r="N26" i="9"/>
  <c r="N22" i="9"/>
  <c r="N11" i="9"/>
  <c r="N39" i="9"/>
  <c r="N45" i="9"/>
  <c r="O4" i="9"/>
  <c r="H29" i="2" l="1"/>
  <c r="H24" i="1" s="1"/>
  <c r="H19" i="2"/>
  <c r="M7" i="9" s="1"/>
  <c r="H20" i="2"/>
  <c r="F36" i="2"/>
  <c r="D20" i="1"/>
  <c r="D29" i="1" s="1"/>
  <c r="F33" i="2"/>
  <c r="G26" i="2"/>
  <c r="F35" i="2"/>
  <c r="F34" i="2"/>
  <c r="H30" i="2"/>
  <c r="H25" i="1" s="1"/>
  <c r="G6" i="11"/>
  <c r="J6" i="11" s="1"/>
  <c r="B42" i="12"/>
  <c r="C42" i="12" s="1"/>
  <c r="U16" i="11"/>
  <c r="V16" i="11" s="1"/>
  <c r="F16" i="11" s="1"/>
  <c r="H22" i="2"/>
  <c r="G22" i="2" s="1"/>
  <c r="C17" i="11"/>
  <c r="G12" i="9"/>
  <c r="G23" i="9" s="1"/>
  <c r="B18" i="11"/>
  <c r="E17" i="11"/>
  <c r="D17" i="11"/>
  <c r="S17" i="11" s="1"/>
  <c r="O38" i="9"/>
  <c r="F23" i="9"/>
  <c r="F33" i="9" s="1"/>
  <c r="H48" i="9"/>
  <c r="I6" i="9"/>
  <c r="H12" i="9" s="1"/>
  <c r="H52" i="9"/>
  <c r="H51" i="9"/>
  <c r="H50" i="9"/>
  <c r="H49" i="9"/>
  <c r="G31" i="9"/>
  <c r="H46" i="9"/>
  <c r="O45" i="9"/>
  <c r="O22" i="9"/>
  <c r="O26" i="9"/>
  <c r="O30" i="9"/>
  <c r="O27" i="9"/>
  <c r="O5" i="9"/>
  <c r="O11" i="9"/>
  <c r="O39" i="9"/>
  <c r="N40" i="9"/>
  <c r="N25" i="9" s="1"/>
  <c r="P4" i="9"/>
  <c r="H6" i="11" l="1"/>
  <c r="I6" i="11" s="1"/>
  <c r="C20" i="1"/>
  <c r="O7" i="9"/>
  <c r="H27" i="2"/>
  <c r="H22" i="1" s="1"/>
  <c r="L7" i="9"/>
  <c r="K7" i="9"/>
  <c r="J7" i="9"/>
  <c r="H20" i="1"/>
  <c r="D25" i="1" s="1"/>
  <c r="C25" i="1" s="1"/>
  <c r="H7" i="9"/>
  <c r="H17" i="9" s="1"/>
  <c r="G7" i="9"/>
  <c r="G8" i="9" s="1"/>
  <c r="I7" i="9"/>
  <c r="I8" i="9" s="1"/>
  <c r="N7" i="9"/>
  <c r="B43" i="12"/>
  <c r="C43" i="12" s="1"/>
  <c r="U17" i="11"/>
  <c r="V17" i="11" s="1"/>
  <c r="F17" i="11" s="1"/>
  <c r="F7" i="9"/>
  <c r="F63" i="9" s="1"/>
  <c r="H21" i="1"/>
  <c r="L5" i="11"/>
  <c r="H28" i="2"/>
  <c r="E7" i="9"/>
  <c r="E60" i="9" s="1"/>
  <c r="C18" i="11"/>
  <c r="O40" i="9"/>
  <c r="O25" i="9" s="1"/>
  <c r="D18" i="11"/>
  <c r="S18" i="11" s="1"/>
  <c r="B19" i="11"/>
  <c r="E18" i="11"/>
  <c r="P38" i="9"/>
  <c r="H28" i="9"/>
  <c r="H31" i="9"/>
  <c r="I48" i="9"/>
  <c r="I52" i="9"/>
  <c r="I50" i="9"/>
  <c r="I49" i="9"/>
  <c r="I46" i="9"/>
  <c r="I51" i="9"/>
  <c r="J6" i="9"/>
  <c r="I12" i="9" s="1"/>
  <c r="G33" i="9"/>
  <c r="C29" i="1"/>
  <c r="D30" i="1"/>
  <c r="B30" i="1" s="1"/>
  <c r="P45" i="9"/>
  <c r="H23" i="9"/>
  <c r="P26" i="9"/>
  <c r="P30" i="9"/>
  <c r="P27" i="9"/>
  <c r="P5" i="9"/>
  <c r="P22" i="9"/>
  <c r="P11" i="9"/>
  <c r="P39" i="9"/>
  <c r="Q4" i="9"/>
  <c r="P7" i="9"/>
  <c r="H64" i="9" l="1"/>
  <c r="H60" i="9"/>
  <c r="I17" i="9"/>
  <c r="G63" i="9"/>
  <c r="G61" i="9"/>
  <c r="G62" i="9"/>
  <c r="H8" i="9"/>
  <c r="G64" i="9"/>
  <c r="G17" i="9"/>
  <c r="G60" i="9"/>
  <c r="H61" i="9"/>
  <c r="E61" i="9"/>
  <c r="E62" i="9"/>
  <c r="E64" i="9"/>
  <c r="F17" i="9"/>
  <c r="E17" i="9"/>
  <c r="E63" i="9"/>
  <c r="F60" i="9"/>
  <c r="F64" i="9"/>
  <c r="F8" i="9"/>
  <c r="F62" i="9"/>
  <c r="F61" i="9"/>
  <c r="B44" i="12"/>
  <c r="C44" i="12" s="1"/>
  <c r="U18" i="11"/>
  <c r="V18" i="11" s="1"/>
  <c r="F18" i="11" s="1"/>
  <c r="E8" i="9"/>
  <c r="H23" i="1"/>
  <c r="Q45" i="9"/>
  <c r="C19" i="11"/>
  <c r="L6" i="11"/>
  <c r="N6" i="11"/>
  <c r="K6" i="11"/>
  <c r="G7" i="11" s="1"/>
  <c r="P40" i="9"/>
  <c r="P25" i="9" s="1"/>
  <c r="B20" i="11"/>
  <c r="E19" i="11"/>
  <c r="D19" i="11"/>
  <c r="S19" i="11" s="1"/>
  <c r="H33" i="9"/>
  <c r="I28" i="9"/>
  <c r="I23" i="9"/>
  <c r="D31" i="1"/>
  <c r="J51" i="9"/>
  <c r="I63" i="9" s="1"/>
  <c r="J48" i="9"/>
  <c r="J8" i="9"/>
  <c r="J50" i="9"/>
  <c r="I62" i="9" s="1"/>
  <c r="J17" i="9"/>
  <c r="J52" i="9"/>
  <c r="K6" i="9"/>
  <c r="J28" i="9" s="1"/>
  <c r="J49" i="9"/>
  <c r="I61" i="9" s="1"/>
  <c r="J46" i="9"/>
  <c r="I31" i="9"/>
  <c r="Q38" i="9"/>
  <c r="H62" i="9"/>
  <c r="H63" i="9"/>
  <c r="Q30" i="9"/>
  <c r="Q27" i="9"/>
  <c r="Q5" i="9"/>
  <c r="Q11" i="9"/>
  <c r="Q22" i="9"/>
  <c r="Q39" i="9"/>
  <c r="Q26" i="9"/>
  <c r="R4" i="9"/>
  <c r="Q7" i="9"/>
  <c r="B45" i="12" l="1"/>
  <c r="C45" i="12" s="1"/>
  <c r="J7" i="11"/>
  <c r="H7" i="11" s="1"/>
  <c r="I7" i="11" s="1"/>
  <c r="U19" i="11"/>
  <c r="V19" i="11" s="1"/>
  <c r="F19" i="11" s="1"/>
  <c r="C20" i="11"/>
  <c r="D20" i="11"/>
  <c r="S20" i="11" s="1"/>
  <c r="B21" i="11"/>
  <c r="E20" i="11"/>
  <c r="Q40" i="9"/>
  <c r="Q25" i="9" s="1"/>
  <c r="I60" i="9"/>
  <c r="R38" i="9"/>
  <c r="K52" i="9"/>
  <c r="K50" i="9"/>
  <c r="J62" i="9" s="1"/>
  <c r="L6" i="9"/>
  <c r="K12" i="9" s="1"/>
  <c r="J31" i="9"/>
  <c r="K48" i="9"/>
  <c r="K51" i="9"/>
  <c r="J63" i="9" s="1"/>
  <c r="K17" i="9"/>
  <c r="K8" i="9"/>
  <c r="K49" i="9"/>
  <c r="J61" i="9" s="1"/>
  <c r="K46" i="9"/>
  <c r="I64" i="9"/>
  <c r="I33" i="9"/>
  <c r="J12" i="9"/>
  <c r="R22" i="9"/>
  <c r="R39" i="9"/>
  <c r="R5" i="9"/>
  <c r="R11" i="9"/>
  <c r="R30" i="9"/>
  <c r="R26" i="9"/>
  <c r="R27" i="9"/>
  <c r="R45" i="9"/>
  <c r="S4" i="9"/>
  <c r="R7" i="9"/>
  <c r="B46" i="12" l="1"/>
  <c r="C46" i="12" s="1"/>
  <c r="U20" i="11"/>
  <c r="V20" i="11" s="1"/>
  <c r="F20" i="11" s="1"/>
  <c r="C21" i="11"/>
  <c r="K7" i="11"/>
  <c r="G8" i="11" s="1"/>
  <c r="N7" i="11"/>
  <c r="L7" i="11"/>
  <c r="B22" i="11"/>
  <c r="E21" i="11"/>
  <c r="D21" i="11"/>
  <c r="S21" i="11" s="1"/>
  <c r="R40" i="9"/>
  <c r="R25" i="9" s="1"/>
  <c r="K28" i="9"/>
  <c r="K23" i="9"/>
  <c r="S38" i="9"/>
  <c r="J23" i="9"/>
  <c r="J33" i="9" s="1"/>
  <c r="K31" i="9"/>
  <c r="L17" i="9"/>
  <c r="L52" i="9"/>
  <c r="K64" i="9" s="1"/>
  <c r="L8" i="9"/>
  <c r="L51" i="9"/>
  <c r="L46" i="9"/>
  <c r="L49" i="9"/>
  <c r="L48" i="9"/>
  <c r="L50" i="9"/>
  <c r="M6" i="9"/>
  <c r="L12" i="9" s="1"/>
  <c r="J60" i="9"/>
  <c r="J64" i="9"/>
  <c r="S11" i="9"/>
  <c r="S39" i="9"/>
  <c r="S22" i="9"/>
  <c r="S30" i="9"/>
  <c r="S26" i="9"/>
  <c r="S27" i="9"/>
  <c r="S5" i="9"/>
  <c r="S45" i="9"/>
  <c r="S7" i="9"/>
  <c r="B47" i="12" l="1"/>
  <c r="C47" i="12" s="1"/>
  <c r="J8" i="11"/>
  <c r="H8" i="11" s="1"/>
  <c r="U21" i="11"/>
  <c r="V21" i="11" s="1"/>
  <c r="F21" i="11" s="1"/>
  <c r="S40" i="9"/>
  <c r="S25" i="9" s="1"/>
  <c r="D22" i="11"/>
  <c r="S22" i="11" s="1"/>
  <c r="C22" i="11"/>
  <c r="B23" i="11"/>
  <c r="E22" i="11"/>
  <c r="L28" i="9"/>
  <c r="K61" i="9"/>
  <c r="K60" i="9"/>
  <c r="K63" i="9"/>
  <c r="K33" i="9"/>
  <c r="L23" i="9"/>
  <c r="K62" i="9"/>
  <c r="M46" i="9"/>
  <c r="M51" i="9"/>
  <c r="N6" i="9"/>
  <c r="M12" i="9" s="1"/>
  <c r="M17" i="9"/>
  <c r="M50" i="9"/>
  <c r="M48" i="9"/>
  <c r="M8" i="9"/>
  <c r="L31" i="9"/>
  <c r="M52" i="9"/>
  <c r="L64" i="9" s="1"/>
  <c r="M49" i="9"/>
  <c r="L61" i="9" s="1"/>
  <c r="B48" i="12" l="1"/>
  <c r="C48" i="12" s="1"/>
  <c r="U22" i="11"/>
  <c r="V22" i="11" s="1"/>
  <c r="F22" i="11" s="1"/>
  <c r="I8" i="11"/>
  <c r="K8" i="11" s="1"/>
  <c r="G9" i="11" s="1"/>
  <c r="C23" i="11"/>
  <c r="B24" i="11"/>
  <c r="E23" i="11"/>
  <c r="D23" i="11"/>
  <c r="S23" i="11" s="1"/>
  <c r="M28" i="9"/>
  <c r="L33" i="9"/>
  <c r="N46" i="9"/>
  <c r="N52" i="9"/>
  <c r="M64" i="9" s="1"/>
  <c r="O6" i="9"/>
  <c r="N28" i="9" s="1"/>
  <c r="N51" i="9"/>
  <c r="M31" i="9"/>
  <c r="N17" i="9"/>
  <c r="N8" i="9"/>
  <c r="N48" i="9"/>
  <c r="N49" i="9"/>
  <c r="M61" i="9" s="1"/>
  <c r="N50" i="9"/>
  <c r="M62" i="9" s="1"/>
  <c r="L60" i="9"/>
  <c r="M23" i="9"/>
  <c r="L63" i="9"/>
  <c r="L62" i="9"/>
  <c r="B49" i="12" l="1"/>
  <c r="C49" i="12" s="1"/>
  <c r="J9" i="11"/>
  <c r="H9" i="11" s="1"/>
  <c r="U23" i="11"/>
  <c r="V23" i="11" s="1"/>
  <c r="F23" i="11" s="1"/>
  <c r="N8" i="11"/>
  <c r="L8" i="11"/>
  <c r="N12" i="9"/>
  <c r="N23" i="9" s="1"/>
  <c r="C24" i="11"/>
  <c r="D24" i="11"/>
  <c r="S24" i="11" s="1"/>
  <c r="B25" i="11"/>
  <c r="E24" i="11"/>
  <c r="N31" i="9"/>
  <c r="O48" i="9"/>
  <c r="P6" i="9"/>
  <c r="O12" i="9" s="1"/>
  <c r="O46" i="9"/>
  <c r="O8" i="9"/>
  <c r="O49" i="9"/>
  <c r="O51" i="9"/>
  <c r="N63" i="9" s="1"/>
  <c r="O52" i="9"/>
  <c r="O50" i="9"/>
  <c r="N62" i="9" s="1"/>
  <c r="O17" i="9"/>
  <c r="M33" i="9"/>
  <c r="M60" i="9"/>
  <c r="M63" i="9"/>
  <c r="I9" i="11" l="1"/>
  <c r="K9" i="11" s="1"/>
  <c r="G10" i="11" s="1"/>
  <c r="J10" i="11" s="1"/>
  <c r="H10" i="11" s="1"/>
  <c r="I10" i="11" s="1"/>
  <c r="B50" i="12"/>
  <c r="C50" i="12" s="1"/>
  <c r="U24" i="11"/>
  <c r="V24" i="11" s="1"/>
  <c r="F24" i="11" s="1"/>
  <c r="C25" i="11"/>
  <c r="N33" i="9"/>
  <c r="N60" i="9"/>
  <c r="N64" i="9"/>
  <c r="B26" i="11"/>
  <c r="E25" i="11"/>
  <c r="D25" i="11"/>
  <c r="S25" i="11" s="1"/>
  <c r="O28" i="9"/>
  <c r="N61" i="9"/>
  <c r="O31" i="9"/>
  <c r="P49" i="9"/>
  <c r="P48" i="9"/>
  <c r="P51" i="9"/>
  <c r="P50" i="9"/>
  <c r="O62" i="9" s="1"/>
  <c r="P17" i="9"/>
  <c r="P52" i="9"/>
  <c r="O64" i="9" s="1"/>
  <c r="P46" i="9"/>
  <c r="Q6" i="9"/>
  <c r="P12" i="9" s="1"/>
  <c r="P8" i="9"/>
  <c r="O23" i="9"/>
  <c r="L9" i="11" l="1"/>
  <c r="N9" i="11"/>
  <c r="B51" i="12"/>
  <c r="C51" i="12" s="1"/>
  <c r="U25" i="11"/>
  <c r="V25" i="11" s="1"/>
  <c r="F25" i="11" s="1"/>
  <c r="C26" i="11"/>
  <c r="L10" i="11"/>
  <c r="N10" i="11"/>
  <c r="K10" i="11"/>
  <c r="G11" i="11" s="1"/>
  <c r="D26" i="11"/>
  <c r="S26" i="11" s="1"/>
  <c r="B27" i="11"/>
  <c r="E26" i="11"/>
  <c r="O33" i="9"/>
  <c r="P28" i="9"/>
  <c r="P23" i="9"/>
  <c r="P31" i="9"/>
  <c r="Q8" i="9"/>
  <c r="Q48" i="9"/>
  <c r="P60" i="9" s="1"/>
  <c r="Q51" i="9"/>
  <c r="P63" i="9" s="1"/>
  <c r="Q50" i="9"/>
  <c r="P62" i="9" s="1"/>
  <c r="Q49" i="9"/>
  <c r="Q52" i="9"/>
  <c r="P64" i="9" s="1"/>
  <c r="R6" i="9"/>
  <c r="Q28" i="9" s="1"/>
  <c r="Q46" i="9"/>
  <c r="Q17" i="9"/>
  <c r="O63" i="9"/>
  <c r="O60" i="9"/>
  <c r="O61" i="9"/>
  <c r="B52" i="12" l="1"/>
  <c r="C52" i="12" s="1"/>
  <c r="J11" i="11"/>
  <c r="H11" i="11" s="1"/>
  <c r="I11" i="11" s="1"/>
  <c r="U26" i="11"/>
  <c r="V26" i="11" s="1"/>
  <c r="F26" i="11" s="1"/>
  <c r="C27" i="11"/>
  <c r="B28" i="11"/>
  <c r="E27" i="11"/>
  <c r="D27" i="11"/>
  <c r="S27" i="11" s="1"/>
  <c r="P33" i="9"/>
  <c r="Q12" i="9"/>
  <c r="P61" i="9"/>
  <c r="Q31" i="9"/>
  <c r="R17" i="9"/>
  <c r="S6" i="9"/>
  <c r="R12" i="9" s="1"/>
  <c r="R51" i="9"/>
  <c r="Q63" i="9" s="1"/>
  <c r="R52" i="9"/>
  <c r="Q64" i="9" s="1"/>
  <c r="R50" i="9"/>
  <c r="Q62" i="9" s="1"/>
  <c r="R46" i="9"/>
  <c r="R49" i="9"/>
  <c r="Q61" i="9" s="1"/>
  <c r="R48" i="9"/>
  <c r="Q60" i="9" s="1"/>
  <c r="R8" i="9"/>
  <c r="B53" i="12" l="1"/>
  <c r="C53" i="12" s="1"/>
  <c r="U27" i="11"/>
  <c r="V27" i="11" s="1"/>
  <c r="F27" i="11" s="1"/>
  <c r="C28" i="11"/>
  <c r="L11" i="11"/>
  <c r="N11" i="11"/>
  <c r="K11" i="11"/>
  <c r="G12" i="11" s="1"/>
  <c r="D28" i="11"/>
  <c r="S28" i="11" s="1"/>
  <c r="B29" i="11"/>
  <c r="E28" i="11"/>
  <c r="Q23" i="9"/>
  <c r="Q33" i="9" s="1"/>
  <c r="R23" i="9"/>
  <c r="R28" i="9"/>
  <c r="R31" i="9"/>
  <c r="S12" i="9"/>
  <c r="S51" i="9"/>
  <c r="S52" i="9"/>
  <c r="R64" i="9" s="1"/>
  <c r="S8" i="9"/>
  <c r="S49" i="9"/>
  <c r="R61" i="9" s="1"/>
  <c r="S46" i="9"/>
  <c r="S31" i="9"/>
  <c r="S17" i="9"/>
  <c r="S50" i="9"/>
  <c r="S48" i="9"/>
  <c r="R60" i="9" s="1"/>
  <c r="S28" i="9"/>
  <c r="B54" i="12" l="1"/>
  <c r="C54" i="12" s="1"/>
  <c r="J12" i="11"/>
  <c r="H12" i="11" s="1"/>
  <c r="I12" i="11" s="1"/>
  <c r="U28" i="11"/>
  <c r="V28" i="11" s="1"/>
  <c r="F28" i="11" s="1"/>
  <c r="C29" i="11"/>
  <c r="B30" i="11"/>
  <c r="E29" i="11"/>
  <c r="D29" i="11"/>
  <c r="R33" i="9"/>
  <c r="S63" i="9"/>
  <c r="S62" i="9"/>
  <c r="R63" i="9"/>
  <c r="S23" i="9"/>
  <c r="S33" i="9" s="1"/>
  <c r="S61" i="9"/>
  <c r="S60" i="9"/>
  <c r="S64" i="9"/>
  <c r="R62" i="9"/>
  <c r="B55" i="12" l="1"/>
  <c r="C55" i="12" s="1"/>
  <c r="D30" i="11"/>
  <c r="S30" i="11" s="1"/>
  <c r="S29" i="11"/>
  <c r="L12" i="11"/>
  <c r="N12" i="11"/>
  <c r="C30" i="11"/>
  <c r="K12" i="11"/>
  <c r="G13" i="11" s="1"/>
  <c r="B31" i="11"/>
  <c r="E30" i="11"/>
  <c r="B56" i="12" l="1"/>
  <c r="C56" i="12" s="1"/>
  <c r="J13" i="11"/>
  <c r="H13" i="11" s="1"/>
  <c r="I13" i="11" s="1"/>
  <c r="U29" i="11"/>
  <c r="V29" i="11" s="1"/>
  <c r="F29" i="11" s="1"/>
  <c r="U30" i="11"/>
  <c r="V30" i="11" s="1"/>
  <c r="F30" i="11" s="1"/>
  <c r="C31" i="11"/>
  <c r="B32" i="11"/>
  <c r="E31" i="11"/>
  <c r="D31" i="11"/>
  <c r="B57" i="12" l="1"/>
  <c r="C57" i="12" s="1"/>
  <c r="D32" i="11"/>
  <c r="S32" i="11" s="1"/>
  <c r="S31" i="11"/>
  <c r="C32" i="11"/>
  <c r="L13" i="11"/>
  <c r="N13" i="11"/>
  <c r="K13" i="11"/>
  <c r="G14" i="11" s="1"/>
  <c r="B33" i="11"/>
  <c r="E32" i="11"/>
  <c r="B58" i="12" l="1"/>
  <c r="C58" i="12" s="1"/>
  <c r="J14" i="11"/>
  <c r="H14" i="11" s="1"/>
  <c r="I14" i="11" s="1"/>
  <c r="U31" i="11"/>
  <c r="V31" i="11" s="1"/>
  <c r="F31" i="11" s="1"/>
  <c r="U32" i="11"/>
  <c r="V32" i="11" s="1"/>
  <c r="F32" i="11" s="1"/>
  <c r="C33" i="11"/>
  <c r="B34" i="11"/>
  <c r="E33" i="11"/>
  <c r="D33" i="11"/>
  <c r="S33" i="11" s="1"/>
  <c r="B59" i="12" l="1"/>
  <c r="C59" i="12" s="1"/>
  <c r="U33" i="11"/>
  <c r="V33" i="11" s="1"/>
  <c r="F33" i="11" s="1"/>
  <c r="L14" i="11"/>
  <c r="N14" i="11"/>
  <c r="C34" i="11"/>
  <c r="K14" i="11"/>
  <c r="G15" i="11" s="1"/>
  <c r="D34" i="11"/>
  <c r="S34" i="11" s="1"/>
  <c r="B35" i="11"/>
  <c r="E34" i="11"/>
  <c r="B60" i="12" l="1"/>
  <c r="C60" i="12" s="1"/>
  <c r="J15" i="11"/>
  <c r="H15" i="11" s="1"/>
  <c r="I15" i="11" s="1"/>
  <c r="U34" i="11"/>
  <c r="V34" i="11" s="1"/>
  <c r="F34" i="11" s="1"/>
  <c r="C35" i="11"/>
  <c r="B36" i="11"/>
  <c r="E35" i="11"/>
  <c r="D35" i="11"/>
  <c r="S35" i="11" s="1"/>
  <c r="B61" i="12" l="1"/>
  <c r="C61" i="12" s="1"/>
  <c r="U35" i="11"/>
  <c r="V35" i="11" s="1"/>
  <c r="F35" i="11" s="1"/>
  <c r="C36" i="11"/>
  <c r="L15" i="11"/>
  <c r="N15" i="11"/>
  <c r="K15" i="11"/>
  <c r="G16" i="11" s="1"/>
  <c r="D36" i="11"/>
  <c r="S36" i="11" s="1"/>
  <c r="B37" i="11"/>
  <c r="E36" i="11"/>
  <c r="B62" i="12" l="1"/>
  <c r="C62" i="12" s="1"/>
  <c r="J16" i="11"/>
  <c r="H16" i="11" s="1"/>
  <c r="U36" i="11"/>
  <c r="V36" i="11" s="1"/>
  <c r="F36" i="11" s="1"/>
  <c r="C37" i="11"/>
  <c r="B38" i="11"/>
  <c r="E37" i="11"/>
  <c r="D37" i="11"/>
  <c r="S37" i="11" s="1"/>
  <c r="I16" i="11" l="1"/>
  <c r="K16" i="11" s="1"/>
  <c r="G17" i="11" s="1"/>
  <c r="B63" i="12"/>
  <c r="C63" i="12" s="1"/>
  <c r="U37" i="11"/>
  <c r="V37" i="11" s="1"/>
  <c r="F37" i="11" s="1"/>
  <c r="C38" i="11"/>
  <c r="D38" i="11"/>
  <c r="S38" i="11" s="1"/>
  <c r="B39" i="11"/>
  <c r="E38" i="11"/>
  <c r="N16" i="11" l="1"/>
  <c r="L16" i="11"/>
  <c r="B64" i="12"/>
  <c r="C64" i="12" s="1"/>
  <c r="U38" i="11"/>
  <c r="V38" i="11" s="1"/>
  <c r="F38" i="11" s="1"/>
  <c r="J17" i="11"/>
  <c r="H17" i="11" s="1"/>
  <c r="C39" i="11"/>
  <c r="B40" i="11"/>
  <c r="E39" i="11"/>
  <c r="D39" i="11"/>
  <c r="S39" i="11" s="1"/>
  <c r="B65" i="12" l="1"/>
  <c r="C65" i="12" s="1"/>
  <c r="U39" i="11"/>
  <c r="V39" i="11" s="1"/>
  <c r="F39" i="11" s="1"/>
  <c r="I17" i="11"/>
  <c r="L17" i="11" s="1"/>
  <c r="E13" i="9"/>
  <c r="E14" i="9" s="1"/>
  <c r="C40" i="11"/>
  <c r="D40" i="11"/>
  <c r="S40" i="11" s="1"/>
  <c r="B41" i="11"/>
  <c r="E40" i="11"/>
  <c r="K17" i="11" l="1"/>
  <c r="G18" i="11" s="1"/>
  <c r="J18" i="11" s="1"/>
  <c r="H18" i="11" s="1"/>
  <c r="I18" i="11" s="1"/>
  <c r="N17" i="11"/>
  <c r="B66" i="12"/>
  <c r="C66" i="12" s="1"/>
  <c r="U40" i="11"/>
  <c r="V40" i="11" s="1"/>
  <c r="F40" i="11" s="1"/>
  <c r="E58" i="9"/>
  <c r="E34" i="9"/>
  <c r="E70" i="9" s="1"/>
  <c r="E55" i="9"/>
  <c r="E57" i="9"/>
  <c r="E19" i="9"/>
  <c r="E56" i="9"/>
  <c r="E18" i="9"/>
  <c r="E54" i="9"/>
  <c r="C41" i="11"/>
  <c r="B42" i="11"/>
  <c r="E41" i="11"/>
  <c r="D41" i="11"/>
  <c r="S41" i="11" s="1"/>
  <c r="B67" i="12" l="1"/>
  <c r="U41" i="11"/>
  <c r="V41" i="11" s="1"/>
  <c r="F41" i="11" s="1"/>
  <c r="E66" i="9"/>
  <c r="E69" i="9"/>
  <c r="E68" i="9"/>
  <c r="E67" i="9"/>
  <c r="E35" i="9"/>
  <c r="C42" i="11"/>
  <c r="L18" i="11"/>
  <c r="N18" i="11"/>
  <c r="K18" i="11"/>
  <c r="G19" i="11" s="1"/>
  <c r="D42" i="11"/>
  <c r="S42" i="11" s="1"/>
  <c r="B43" i="11"/>
  <c r="E42" i="11"/>
  <c r="B68" i="12" l="1"/>
  <c r="J19" i="11"/>
  <c r="H19" i="11" s="1"/>
  <c r="I19" i="11" s="1"/>
  <c r="U42" i="11"/>
  <c r="V42" i="11" s="1"/>
  <c r="F42" i="11" s="1"/>
  <c r="C43" i="11"/>
  <c r="B44" i="11"/>
  <c r="E43" i="11"/>
  <c r="D43" i="11"/>
  <c r="S43" i="11" s="1"/>
  <c r="B69" i="12" l="1"/>
  <c r="U43" i="11"/>
  <c r="V43" i="11" s="1"/>
  <c r="F43" i="11" s="1"/>
  <c r="C44" i="11"/>
  <c r="L19" i="11"/>
  <c r="N19" i="11"/>
  <c r="K19" i="11"/>
  <c r="G20" i="11" s="1"/>
  <c r="D44" i="11"/>
  <c r="S44" i="11" s="1"/>
  <c r="B45" i="11"/>
  <c r="E44" i="11"/>
  <c r="B70" i="12" l="1"/>
  <c r="J20" i="11"/>
  <c r="H20" i="11" s="1"/>
  <c r="I20" i="11" s="1"/>
  <c r="U44" i="11"/>
  <c r="V44" i="11"/>
  <c r="F44" i="11" s="1"/>
  <c r="C45" i="11"/>
  <c r="B46" i="11"/>
  <c r="E45" i="11"/>
  <c r="D45" i="11"/>
  <c r="B71" i="12" l="1"/>
  <c r="D46" i="11"/>
  <c r="S46" i="11" s="1"/>
  <c r="S45" i="11"/>
  <c r="L20" i="11"/>
  <c r="N20" i="11"/>
  <c r="C46" i="11"/>
  <c r="K20" i="11"/>
  <c r="G21" i="11" s="1"/>
  <c r="B47" i="11"/>
  <c r="E46" i="11"/>
  <c r="B72" i="12" l="1"/>
  <c r="J21" i="11"/>
  <c r="H21" i="11" s="1"/>
  <c r="I21" i="11" s="1"/>
  <c r="U45" i="11"/>
  <c r="V45" i="11" s="1"/>
  <c r="F45" i="11" s="1"/>
  <c r="U46" i="11"/>
  <c r="V46" i="11" s="1"/>
  <c r="F46" i="11" s="1"/>
  <c r="C47" i="11"/>
  <c r="B48" i="11"/>
  <c r="E47" i="11"/>
  <c r="D47" i="11"/>
  <c r="S47" i="11" s="1"/>
  <c r="B73" i="12" l="1"/>
  <c r="U47" i="11"/>
  <c r="V47" i="11" s="1"/>
  <c r="F47" i="11" s="1"/>
  <c r="L21" i="11"/>
  <c r="N21" i="11"/>
  <c r="C48" i="11"/>
  <c r="K21" i="11"/>
  <c r="G22" i="11" s="1"/>
  <c r="D48" i="11"/>
  <c r="S48" i="11" s="1"/>
  <c r="B49" i="11"/>
  <c r="E48" i="11"/>
  <c r="B74" i="12" l="1"/>
  <c r="J22" i="11"/>
  <c r="H22" i="11" s="1"/>
  <c r="I22" i="11" s="1"/>
  <c r="U48" i="11"/>
  <c r="V48" i="11" s="1"/>
  <c r="F48" i="11" s="1"/>
  <c r="C49" i="11"/>
  <c r="B50" i="11"/>
  <c r="E49" i="11"/>
  <c r="D49" i="11"/>
  <c r="B75" i="12" l="1"/>
  <c r="D50" i="11"/>
  <c r="S50" i="11" s="1"/>
  <c r="S49" i="11"/>
  <c r="L22" i="11"/>
  <c r="N22" i="11"/>
  <c r="C50" i="11"/>
  <c r="K22" i="11"/>
  <c r="G23" i="11" s="1"/>
  <c r="B51" i="11"/>
  <c r="E50" i="11"/>
  <c r="B76" i="12" l="1"/>
  <c r="J23" i="11"/>
  <c r="H23" i="11" s="1"/>
  <c r="I23" i="11" s="1"/>
  <c r="U49" i="11"/>
  <c r="V49" i="11" s="1"/>
  <c r="F49" i="11" s="1"/>
  <c r="U50" i="11"/>
  <c r="V50" i="11" s="1"/>
  <c r="F50" i="11" s="1"/>
  <c r="C51" i="11"/>
  <c r="B52" i="11"/>
  <c r="E51" i="11"/>
  <c r="D51" i="11"/>
  <c r="S51" i="11" s="1"/>
  <c r="B77" i="12" l="1"/>
  <c r="U51" i="11"/>
  <c r="V51" i="11" s="1"/>
  <c r="F51" i="11" s="1"/>
  <c r="C52" i="11"/>
  <c r="K23" i="11"/>
  <c r="G24" i="11" s="1"/>
  <c r="N23" i="11"/>
  <c r="L23" i="11"/>
  <c r="J24" i="11"/>
  <c r="D52" i="11"/>
  <c r="S52" i="11" s="1"/>
  <c r="B53" i="11"/>
  <c r="E52" i="11"/>
  <c r="H24" i="11" l="1"/>
  <c r="I24" i="11" s="1"/>
  <c r="B78" i="12"/>
  <c r="U52" i="11"/>
  <c r="V52" i="11" s="1"/>
  <c r="F52" i="11" s="1"/>
  <c r="C53" i="11"/>
  <c r="B54" i="11"/>
  <c r="E53" i="11"/>
  <c r="D53" i="11"/>
  <c r="S53" i="11" s="1"/>
  <c r="B79" i="12" l="1"/>
  <c r="U53" i="11"/>
  <c r="V53" i="11" s="1"/>
  <c r="F53" i="11" s="1"/>
  <c r="C54" i="11"/>
  <c r="L24" i="11"/>
  <c r="N24" i="11"/>
  <c r="K24" i="11"/>
  <c r="G25" i="11" s="1"/>
  <c r="D54" i="11"/>
  <c r="S54" i="11" s="1"/>
  <c r="B55" i="11"/>
  <c r="E54" i="11"/>
  <c r="B80" i="12" l="1"/>
  <c r="J25" i="11"/>
  <c r="H25" i="11" s="1"/>
  <c r="I25" i="11" s="1"/>
  <c r="U54" i="11"/>
  <c r="V54" i="11" s="1"/>
  <c r="F54" i="11" s="1"/>
  <c r="C55" i="11"/>
  <c r="B56" i="11"/>
  <c r="E55" i="11"/>
  <c r="D55" i="11"/>
  <c r="S55" i="11" s="1"/>
  <c r="B81" i="12" l="1"/>
  <c r="U55" i="11"/>
  <c r="V55" i="11" s="1"/>
  <c r="F55" i="11" s="1"/>
  <c r="C56" i="11"/>
  <c r="L25" i="11"/>
  <c r="N25" i="11"/>
  <c r="K25" i="11"/>
  <c r="G26" i="11" s="1"/>
  <c r="D56" i="11"/>
  <c r="S56" i="11" s="1"/>
  <c r="B57" i="11"/>
  <c r="E56" i="11"/>
  <c r="B82" i="12" l="1"/>
  <c r="J26" i="11"/>
  <c r="H26" i="11" s="1"/>
  <c r="I26" i="11" s="1"/>
  <c r="U56" i="11"/>
  <c r="V56" i="11" s="1"/>
  <c r="F56" i="11" s="1"/>
  <c r="C57" i="11"/>
  <c r="B58" i="11"/>
  <c r="E57" i="11"/>
  <c r="D57" i="11"/>
  <c r="B83" i="12" l="1"/>
  <c r="D58" i="11"/>
  <c r="S58" i="11" s="1"/>
  <c r="S57" i="11"/>
  <c r="C58" i="11"/>
  <c r="L26" i="11"/>
  <c r="N26" i="11"/>
  <c r="K26" i="11"/>
  <c r="G27" i="11" s="1"/>
  <c r="B59" i="11"/>
  <c r="E58" i="11"/>
  <c r="B84" i="12" l="1"/>
  <c r="J27" i="11"/>
  <c r="H27" i="11" s="1"/>
  <c r="I27" i="11" s="1"/>
  <c r="U57" i="11"/>
  <c r="V57" i="11" s="1"/>
  <c r="F57" i="11" s="1"/>
  <c r="U58" i="11"/>
  <c r="V58" i="11" s="1"/>
  <c r="F58" i="11" s="1"/>
  <c r="C59" i="11"/>
  <c r="B60" i="11"/>
  <c r="E59" i="11"/>
  <c r="D59" i="11"/>
  <c r="S59" i="11" s="1"/>
  <c r="B85" i="12" l="1"/>
  <c r="U59" i="11"/>
  <c r="V59" i="11" s="1"/>
  <c r="F59" i="11" s="1"/>
  <c r="C60" i="11"/>
  <c r="L27" i="11"/>
  <c r="N27" i="11"/>
  <c r="K27" i="11"/>
  <c r="G28" i="11" s="1"/>
  <c r="D60" i="11"/>
  <c r="S60" i="11" s="1"/>
  <c r="B61" i="11"/>
  <c r="E60" i="11"/>
  <c r="B86" i="12" l="1"/>
  <c r="J28" i="11"/>
  <c r="H28" i="11" s="1"/>
  <c r="I28" i="11" s="1"/>
  <c r="U60" i="11"/>
  <c r="V60" i="11" s="1"/>
  <c r="F60" i="11" s="1"/>
  <c r="C61" i="11"/>
  <c r="B62" i="11"/>
  <c r="E61" i="11"/>
  <c r="D61" i="11"/>
  <c r="B87" i="12" l="1"/>
  <c r="D62" i="11"/>
  <c r="S62" i="11" s="1"/>
  <c r="S61" i="11"/>
  <c r="L28" i="11"/>
  <c r="N28" i="11"/>
  <c r="C62" i="11"/>
  <c r="K28" i="11"/>
  <c r="G29" i="11" s="1"/>
  <c r="B63" i="11"/>
  <c r="E62" i="11"/>
  <c r="B88" i="12" l="1"/>
  <c r="U61" i="11"/>
  <c r="V61" i="11" s="1"/>
  <c r="F61" i="11" s="1"/>
  <c r="U62" i="11"/>
  <c r="V62" i="11" s="1"/>
  <c r="F62" i="11" s="1"/>
  <c r="J29" i="11"/>
  <c r="H29" i="11" s="1"/>
  <c r="C63" i="11"/>
  <c r="B64" i="11"/>
  <c r="E63" i="11"/>
  <c r="D63" i="11"/>
  <c r="S63" i="11" s="1"/>
  <c r="B89" i="12" l="1"/>
  <c r="U63" i="11"/>
  <c r="V63" i="11" s="1"/>
  <c r="F63" i="11" s="1"/>
  <c r="I29" i="11"/>
  <c r="K29" i="11" s="1"/>
  <c r="G30" i="11" s="1"/>
  <c r="F13" i="9"/>
  <c r="C64" i="11"/>
  <c r="D64" i="11"/>
  <c r="S64" i="11" s="1"/>
  <c r="B65" i="11"/>
  <c r="E64" i="11"/>
  <c r="L29" i="11" l="1"/>
  <c r="B90" i="12"/>
  <c r="N29" i="11"/>
  <c r="J30" i="11"/>
  <c r="H30" i="11" s="1"/>
  <c r="I30" i="11" s="1"/>
  <c r="U64" i="11"/>
  <c r="V64" i="11" s="1"/>
  <c r="F64" i="11" s="1"/>
  <c r="F57" i="9"/>
  <c r="F56" i="9"/>
  <c r="F58" i="9"/>
  <c r="F34" i="9"/>
  <c r="F18" i="9"/>
  <c r="F54" i="9"/>
  <c r="F14" i="9"/>
  <c r="F19" i="9"/>
  <c r="F55" i="9"/>
  <c r="C65" i="11"/>
  <c r="B66" i="11"/>
  <c r="E65" i="11"/>
  <c r="D65" i="11"/>
  <c r="B91" i="12" l="1"/>
  <c r="D66" i="11"/>
  <c r="S66" i="11" s="1"/>
  <c r="S65" i="11"/>
  <c r="F35" i="9"/>
  <c r="F66" i="9"/>
  <c r="F68" i="9"/>
  <c r="F69" i="9"/>
  <c r="F70" i="9"/>
  <c r="F67" i="9"/>
  <c r="C66" i="11"/>
  <c r="L30" i="11"/>
  <c r="N30" i="11"/>
  <c r="K30" i="11"/>
  <c r="G31" i="11" s="1"/>
  <c r="B67" i="11"/>
  <c r="E66" i="11"/>
  <c r="B92" i="12" l="1"/>
  <c r="J31" i="11"/>
  <c r="H31" i="11" s="1"/>
  <c r="I31" i="11" s="1"/>
  <c r="U65" i="11"/>
  <c r="V65" i="11" s="1"/>
  <c r="F65" i="11" s="1"/>
  <c r="U66" i="11"/>
  <c r="V66" i="11" s="1"/>
  <c r="F66" i="11" s="1"/>
  <c r="C67" i="11"/>
  <c r="B68" i="11"/>
  <c r="E67" i="11"/>
  <c r="D67" i="11"/>
  <c r="S67" i="11" s="1"/>
  <c r="B93" i="12" l="1"/>
  <c r="U67" i="11"/>
  <c r="V67" i="11" s="1"/>
  <c r="F67" i="11" s="1"/>
  <c r="C68" i="11"/>
  <c r="L31" i="11"/>
  <c r="N31" i="11"/>
  <c r="K31" i="11"/>
  <c r="G32" i="11" s="1"/>
  <c r="D68" i="11"/>
  <c r="S68" i="11" s="1"/>
  <c r="B69" i="11"/>
  <c r="E68" i="11"/>
  <c r="B94" i="12" l="1"/>
  <c r="J32" i="11"/>
  <c r="H32" i="11" s="1"/>
  <c r="I32" i="11" s="1"/>
  <c r="U68" i="11"/>
  <c r="V68" i="11" s="1"/>
  <c r="F68" i="11" s="1"/>
  <c r="C69" i="11"/>
  <c r="B70" i="11"/>
  <c r="E69" i="11"/>
  <c r="D69" i="11"/>
  <c r="S69" i="11" s="1"/>
  <c r="B95" i="12" l="1"/>
  <c r="U69" i="11"/>
  <c r="V69" i="11" s="1"/>
  <c r="F69" i="11" s="1"/>
  <c r="C70" i="11"/>
  <c r="L32" i="11"/>
  <c r="N32" i="11"/>
  <c r="K32" i="11"/>
  <c r="G33" i="11" s="1"/>
  <c r="D70" i="11"/>
  <c r="S70" i="11" s="1"/>
  <c r="B71" i="11"/>
  <c r="E70" i="11"/>
  <c r="B96" i="12" l="1"/>
  <c r="J33" i="11"/>
  <c r="H33" i="11" s="1"/>
  <c r="I33" i="11" s="1"/>
  <c r="U70" i="11"/>
  <c r="V70" i="11" s="1"/>
  <c r="F70" i="11" s="1"/>
  <c r="C71" i="11"/>
  <c r="B72" i="11"/>
  <c r="E71" i="11"/>
  <c r="D71" i="11"/>
  <c r="S71" i="11" s="1"/>
  <c r="B97" i="12" l="1"/>
  <c r="U71" i="11"/>
  <c r="V71" i="11" s="1"/>
  <c r="F71" i="11" s="1"/>
  <c r="K33" i="11"/>
  <c r="G34" i="11" s="1"/>
  <c r="N33" i="11"/>
  <c r="C72" i="11"/>
  <c r="L33" i="11"/>
  <c r="D72" i="11"/>
  <c r="S72" i="11" s="1"/>
  <c r="B73" i="11"/>
  <c r="E72" i="11"/>
  <c r="B98" i="12" l="1"/>
  <c r="J34" i="11"/>
  <c r="H34" i="11" s="1"/>
  <c r="U72" i="11"/>
  <c r="V72" i="11" s="1"/>
  <c r="F72" i="11" s="1"/>
  <c r="C73" i="11"/>
  <c r="B74" i="11"/>
  <c r="E73" i="11"/>
  <c r="D73" i="11"/>
  <c r="S73" i="11" s="1"/>
  <c r="I34" i="11" l="1"/>
  <c r="L34" i="11" s="1"/>
  <c r="B99" i="12"/>
  <c r="U73" i="11"/>
  <c r="V73" i="11" s="1"/>
  <c r="F73" i="11" s="1"/>
  <c r="C74" i="11"/>
  <c r="K34" i="11"/>
  <c r="G35" i="11" s="1"/>
  <c r="D74" i="11"/>
  <c r="S74" i="11" s="1"/>
  <c r="B75" i="11"/>
  <c r="E74" i="11"/>
  <c r="N34" i="11" l="1"/>
  <c r="B100" i="12"/>
  <c r="J35" i="11"/>
  <c r="H35" i="11" s="1"/>
  <c r="U74" i="11"/>
  <c r="V74" i="11" s="1"/>
  <c r="F74" i="11" s="1"/>
  <c r="C75" i="11"/>
  <c r="B76" i="11"/>
  <c r="E75" i="11"/>
  <c r="D75" i="11"/>
  <c r="I35" i="11" l="1"/>
  <c r="K35" i="11" s="1"/>
  <c r="G36" i="11" s="1"/>
  <c r="J36" i="11" s="1"/>
  <c r="B101" i="12"/>
  <c r="D76" i="11"/>
  <c r="S76" i="11" s="1"/>
  <c r="S75" i="11"/>
  <c r="C76" i="11"/>
  <c r="N35" i="11"/>
  <c r="L35" i="11"/>
  <c r="B77" i="11"/>
  <c r="E76" i="11"/>
  <c r="H36" i="11" l="1"/>
  <c r="I36" i="11" s="1"/>
  <c r="B102" i="12"/>
  <c r="U75" i="11"/>
  <c r="V75" i="11" s="1"/>
  <c r="F75" i="11" s="1"/>
  <c r="U76" i="11"/>
  <c r="V76" i="11" s="1"/>
  <c r="F76" i="11" s="1"/>
  <c r="C77" i="11"/>
  <c r="B78" i="11"/>
  <c r="E77" i="11"/>
  <c r="D77" i="11"/>
  <c r="S77" i="11" s="1"/>
  <c r="B103" i="12" l="1"/>
  <c r="U77" i="11"/>
  <c r="V77" i="11" s="1"/>
  <c r="F77" i="11" s="1"/>
  <c r="C78" i="11"/>
  <c r="L36" i="11"/>
  <c r="N36" i="11"/>
  <c r="K36" i="11"/>
  <c r="G37" i="11" s="1"/>
  <c r="D78" i="11"/>
  <c r="S78" i="11" s="1"/>
  <c r="B79" i="11"/>
  <c r="E78" i="11"/>
  <c r="B104" i="12" l="1"/>
  <c r="J37" i="11"/>
  <c r="H37" i="11" s="1"/>
  <c r="I37" i="11" s="1"/>
  <c r="U78" i="11"/>
  <c r="V78" i="11" s="1"/>
  <c r="F78" i="11" s="1"/>
  <c r="C79" i="11"/>
  <c r="B80" i="11"/>
  <c r="E79" i="11"/>
  <c r="D79" i="11"/>
  <c r="S79" i="11" s="1"/>
  <c r="B105" i="12" l="1"/>
  <c r="U79" i="11"/>
  <c r="V79" i="11" s="1"/>
  <c r="F79" i="11" s="1"/>
  <c r="C80" i="11"/>
  <c r="L37" i="11"/>
  <c r="N37" i="11"/>
  <c r="K37" i="11"/>
  <c r="G38" i="11" s="1"/>
  <c r="D80" i="11"/>
  <c r="S80" i="11" s="1"/>
  <c r="B81" i="11"/>
  <c r="E80" i="11"/>
  <c r="B106" i="12" l="1"/>
  <c r="J38" i="11"/>
  <c r="H38" i="11" s="1"/>
  <c r="U80" i="11"/>
  <c r="V80" i="11" s="1"/>
  <c r="F80" i="11" s="1"/>
  <c r="C81" i="11"/>
  <c r="B82" i="11"/>
  <c r="E81" i="11"/>
  <c r="D81" i="11"/>
  <c r="I38" i="11" l="1"/>
  <c r="N38" i="11" s="1"/>
  <c r="B107" i="12"/>
  <c r="H6" i="12" a="1"/>
  <c r="H6" i="12" s="1"/>
  <c r="S81" i="11"/>
  <c r="C82" i="11"/>
  <c r="D82" i="11"/>
  <c r="S82" i="11" s="1"/>
  <c r="B83" i="11"/>
  <c r="E82" i="11"/>
  <c r="K38" i="11" l="1"/>
  <c r="G39" i="11" s="1"/>
  <c r="J39" i="11" s="1"/>
  <c r="H39" i="11" s="1"/>
  <c r="I39" i="11" s="1"/>
  <c r="L38" i="11"/>
  <c r="B108" i="12"/>
  <c r="U82" i="11"/>
  <c r="V82" i="11" s="1"/>
  <c r="F82" i="11" s="1"/>
  <c r="U81" i="11"/>
  <c r="V81" i="11" s="1"/>
  <c r="F81" i="11" s="1"/>
  <c r="C83" i="11"/>
  <c r="B84" i="11"/>
  <c r="E83" i="11"/>
  <c r="D83" i="11"/>
  <c r="S83" i="11" s="1"/>
  <c r="B109" i="12" l="1"/>
  <c r="U83" i="11"/>
  <c r="V83" i="11" s="1"/>
  <c r="F83" i="11" s="1"/>
  <c r="C84" i="11"/>
  <c r="L39" i="11"/>
  <c r="N39" i="11"/>
  <c r="K39" i="11"/>
  <c r="G40" i="11" s="1"/>
  <c r="D84" i="11"/>
  <c r="S84" i="11" s="1"/>
  <c r="B85" i="11"/>
  <c r="E84" i="11"/>
  <c r="B110" i="12" l="1"/>
  <c r="J40" i="11"/>
  <c r="H40" i="11" s="1"/>
  <c r="I40" i="11" s="1"/>
  <c r="U84" i="11"/>
  <c r="V84" i="11" s="1"/>
  <c r="F84" i="11" s="1"/>
  <c r="C85" i="11"/>
  <c r="B86" i="11"/>
  <c r="E85" i="11"/>
  <c r="D85" i="11"/>
  <c r="S85" i="11" s="1"/>
  <c r="B111" i="12" l="1"/>
  <c r="U85" i="11"/>
  <c r="V85" i="11" s="1"/>
  <c r="F85" i="11" s="1"/>
  <c r="C86" i="11"/>
  <c r="L40" i="11"/>
  <c r="N40" i="11"/>
  <c r="K40" i="11"/>
  <c r="D86" i="11"/>
  <c r="S86" i="11" s="1"/>
  <c r="B87" i="11"/>
  <c r="E86" i="11"/>
  <c r="B112" i="12" l="1"/>
  <c r="U86" i="11"/>
  <c r="V86" i="11" s="1"/>
  <c r="F86" i="11" s="1"/>
  <c r="G41" i="11"/>
  <c r="C87" i="11"/>
  <c r="B88" i="11"/>
  <c r="E87" i="11"/>
  <c r="D87" i="11"/>
  <c r="S87" i="11" s="1"/>
  <c r="B113" i="12" l="1"/>
  <c r="J41" i="11"/>
  <c r="H41" i="11" s="1"/>
  <c r="U87" i="11"/>
  <c r="V87" i="11" s="1"/>
  <c r="F87" i="11" s="1"/>
  <c r="C88" i="11"/>
  <c r="D88" i="11"/>
  <c r="S88" i="11" s="1"/>
  <c r="B89" i="11"/>
  <c r="E88" i="11"/>
  <c r="I41" i="11" l="1"/>
  <c r="L41" i="11" s="1"/>
  <c r="G13" i="9"/>
  <c r="G57" i="9" s="1"/>
  <c r="B114" i="12"/>
  <c r="U88" i="11"/>
  <c r="V88" i="11" s="1"/>
  <c r="F88" i="11" s="1"/>
  <c r="C89" i="11"/>
  <c r="B90" i="11"/>
  <c r="E89" i="11"/>
  <c r="D89" i="11"/>
  <c r="S89" i="11" s="1"/>
  <c r="N41" i="11" l="1"/>
  <c r="K41" i="11"/>
  <c r="G42" i="11" s="1"/>
  <c r="G19" i="9"/>
  <c r="G58" i="9"/>
  <c r="G14" i="9"/>
  <c r="G18" i="9"/>
  <c r="G55" i="9"/>
  <c r="G34" i="9"/>
  <c r="G35" i="9" s="1"/>
  <c r="G56" i="9"/>
  <c r="G54" i="9"/>
  <c r="B115" i="12"/>
  <c r="J42" i="11"/>
  <c r="H42" i="11" s="1"/>
  <c r="I42" i="11" s="1"/>
  <c r="U89" i="11"/>
  <c r="V89" i="11" s="1"/>
  <c r="F89" i="11" s="1"/>
  <c r="C90" i="11"/>
  <c r="D90" i="11"/>
  <c r="S90" i="11" s="1"/>
  <c r="B91" i="11"/>
  <c r="E90" i="11"/>
  <c r="G67" i="9" l="1"/>
  <c r="G69" i="9"/>
  <c r="G68" i="9"/>
  <c r="G66" i="9"/>
  <c r="G70" i="9"/>
  <c r="B116" i="12"/>
  <c r="L42" i="11"/>
  <c r="C67" i="12" s="1"/>
  <c r="K42" i="11"/>
  <c r="G43" i="11" s="1"/>
  <c r="N42" i="11"/>
  <c r="U90" i="11"/>
  <c r="V90" i="11" s="1"/>
  <c r="F90" i="11" s="1"/>
  <c r="C91" i="11"/>
  <c r="B92" i="11"/>
  <c r="E91" i="11"/>
  <c r="D91" i="11"/>
  <c r="B117" i="12" l="1"/>
  <c r="J43" i="11"/>
  <c r="H43" i="11" s="1"/>
  <c r="I43" i="11" s="1"/>
  <c r="D92" i="11"/>
  <c r="S92" i="11" s="1"/>
  <c r="S91" i="11"/>
  <c r="C92" i="11"/>
  <c r="B93" i="11"/>
  <c r="E92" i="11"/>
  <c r="B118" i="12" l="1"/>
  <c r="L43" i="11"/>
  <c r="C68" i="12" s="1"/>
  <c r="K43" i="11"/>
  <c r="G44" i="11" s="1"/>
  <c r="N43" i="11"/>
  <c r="U91" i="11"/>
  <c r="V91" i="11" s="1"/>
  <c r="F91" i="11" s="1"/>
  <c r="U92" i="11"/>
  <c r="V92" i="11" s="1"/>
  <c r="F92" i="11" s="1"/>
  <c r="C93" i="11"/>
  <c r="B94" i="11"/>
  <c r="E93" i="11"/>
  <c r="D93" i="11"/>
  <c r="B119" i="12" l="1"/>
  <c r="J44" i="11"/>
  <c r="H44" i="11" s="1"/>
  <c r="D94" i="11"/>
  <c r="S94" i="11" s="1"/>
  <c r="S93" i="11"/>
  <c r="C94" i="11"/>
  <c r="B95" i="11"/>
  <c r="E94" i="11"/>
  <c r="B120" i="12" l="1"/>
  <c r="I44" i="11"/>
  <c r="U93" i="11"/>
  <c r="V93" i="11" s="1"/>
  <c r="F93" i="11" s="1"/>
  <c r="U94" i="11"/>
  <c r="V94" i="11" s="1"/>
  <c r="F94" i="11" s="1"/>
  <c r="C95" i="11"/>
  <c r="B96" i="11"/>
  <c r="E95" i="11"/>
  <c r="D95" i="11"/>
  <c r="S95" i="11" s="1"/>
  <c r="B121" i="12" l="1"/>
  <c r="L44" i="11"/>
  <c r="C69" i="12" s="1"/>
  <c r="N44" i="11"/>
  <c r="K44" i="11"/>
  <c r="G45" i="11" s="1"/>
  <c r="U95" i="11"/>
  <c r="V95" i="11" s="1"/>
  <c r="F95" i="11" s="1"/>
  <c r="C96" i="11"/>
  <c r="D96" i="11"/>
  <c r="S96" i="11" s="1"/>
  <c r="B97" i="11"/>
  <c r="E96" i="11"/>
  <c r="B122" i="12" l="1"/>
  <c r="J45" i="11"/>
  <c r="H45" i="11" s="1"/>
  <c r="I45" i="11" s="1"/>
  <c r="U96" i="11"/>
  <c r="V96" i="11" s="1"/>
  <c r="F96" i="11" s="1"/>
  <c r="C97" i="11"/>
  <c r="B98" i="11"/>
  <c r="E97" i="11"/>
  <c r="D97" i="11"/>
  <c r="S97" i="11" s="1"/>
  <c r="B123" i="12" l="1"/>
  <c r="N45" i="11"/>
  <c r="K45" i="11"/>
  <c r="G46" i="11" s="1"/>
  <c r="L45" i="11"/>
  <c r="C70" i="12" s="1"/>
  <c r="U97" i="11"/>
  <c r="V97" i="11" s="1"/>
  <c r="F97" i="11" s="1"/>
  <c r="C98" i="11"/>
  <c r="D98" i="11"/>
  <c r="S98" i="11" s="1"/>
  <c r="B99" i="11"/>
  <c r="E98" i="11"/>
  <c r="B124" i="12" l="1"/>
  <c r="J46" i="11"/>
  <c r="H46" i="11" s="1"/>
  <c r="I46" i="11" s="1"/>
  <c r="U98" i="11"/>
  <c r="V98" i="11" s="1"/>
  <c r="F98" i="11" s="1"/>
  <c r="C99" i="11"/>
  <c r="B100" i="11"/>
  <c r="E99" i="11"/>
  <c r="D99" i="11"/>
  <c r="S99" i="11" s="1"/>
  <c r="B125" i="12" l="1"/>
  <c r="N46" i="11"/>
  <c r="K46" i="11"/>
  <c r="G47" i="11" s="1"/>
  <c r="L46" i="11"/>
  <c r="C71" i="12" s="1"/>
  <c r="U99" i="11"/>
  <c r="V99" i="11" s="1"/>
  <c r="F99" i="11" s="1"/>
  <c r="D100" i="11"/>
  <c r="S100" i="11" s="1"/>
  <c r="C100" i="11"/>
  <c r="B101" i="11"/>
  <c r="E100" i="11"/>
  <c r="B126" i="12" l="1"/>
  <c r="J47" i="11"/>
  <c r="H47" i="11" s="1"/>
  <c r="I47" i="11" s="1"/>
  <c r="U100" i="11"/>
  <c r="V100" i="11" s="1"/>
  <c r="F100" i="11" s="1"/>
  <c r="C101" i="11"/>
  <c r="B102" i="11"/>
  <c r="E101" i="11"/>
  <c r="D101" i="11"/>
  <c r="B127" i="12" l="1"/>
  <c r="N47" i="11"/>
  <c r="K47" i="11"/>
  <c r="G48" i="11" s="1"/>
  <c r="L47" i="11"/>
  <c r="C72" i="12" s="1"/>
  <c r="D102" i="11"/>
  <c r="S102" i="11" s="1"/>
  <c r="S101" i="11"/>
  <c r="C102" i="11"/>
  <c r="B103" i="11"/>
  <c r="E102" i="11"/>
  <c r="B128" i="12" l="1"/>
  <c r="J48" i="11"/>
  <c r="H48" i="11" s="1"/>
  <c r="U101" i="11"/>
  <c r="V101" i="11" s="1"/>
  <c r="F101" i="11" s="1"/>
  <c r="U102" i="11"/>
  <c r="V102" i="11" s="1"/>
  <c r="F102" i="11" s="1"/>
  <c r="C103" i="11"/>
  <c r="B104" i="11"/>
  <c r="E103" i="11"/>
  <c r="D103" i="11"/>
  <c r="S103" i="11" s="1"/>
  <c r="B129" i="12" l="1"/>
  <c r="I48" i="11"/>
  <c r="L48" i="11" s="1"/>
  <c r="C73" i="12" s="1"/>
  <c r="U103" i="11"/>
  <c r="V103" i="11" s="1"/>
  <c r="F103" i="11" s="1"/>
  <c r="C104" i="11"/>
  <c r="D104" i="11"/>
  <c r="S104" i="11" s="1"/>
  <c r="B105" i="11"/>
  <c r="E104" i="11"/>
  <c r="B130" i="12" l="1"/>
  <c r="N48" i="11"/>
  <c r="K48" i="11"/>
  <c r="G49" i="11" s="1"/>
  <c r="U104" i="11"/>
  <c r="V104" i="11" s="1"/>
  <c r="F104" i="11" s="1"/>
  <c r="C105" i="11"/>
  <c r="B106" i="11"/>
  <c r="E105" i="11"/>
  <c r="D105" i="11"/>
  <c r="S105" i="11" s="1"/>
  <c r="B131" i="12" l="1"/>
  <c r="J49" i="11"/>
  <c r="H49" i="11" s="1"/>
  <c r="I49" i="11" s="1"/>
  <c r="N49" i="11" s="1"/>
  <c r="U105" i="11"/>
  <c r="V105" i="11" s="1"/>
  <c r="F105" i="11" s="1"/>
  <c r="C106" i="11"/>
  <c r="D106" i="11"/>
  <c r="S106" i="11" s="1"/>
  <c r="B107" i="11"/>
  <c r="E106" i="11"/>
  <c r="B132" i="12" l="1"/>
  <c r="K49" i="11"/>
  <c r="G50" i="11" s="1"/>
  <c r="L49" i="11"/>
  <c r="C74" i="12" s="1"/>
  <c r="U106" i="11"/>
  <c r="V106" i="11" s="1"/>
  <c r="F106" i="11" s="1"/>
  <c r="C107" i="11"/>
  <c r="B108" i="11"/>
  <c r="E107" i="11"/>
  <c r="D107" i="11"/>
  <c r="S107" i="11" s="1"/>
  <c r="B133" i="12" l="1"/>
  <c r="J50" i="11"/>
  <c r="H50" i="11" s="1"/>
  <c r="I50" i="11" s="1"/>
  <c r="N50" i="11" s="1"/>
  <c r="U107" i="11"/>
  <c r="V107" i="11" s="1"/>
  <c r="F107" i="11" s="1"/>
  <c r="C108" i="11"/>
  <c r="D108" i="11"/>
  <c r="S108" i="11" s="1"/>
  <c r="B109" i="11"/>
  <c r="E108" i="11"/>
  <c r="B134" i="12" l="1"/>
  <c r="K50" i="11"/>
  <c r="G51" i="11" s="1"/>
  <c r="L50" i="11"/>
  <c r="C75" i="12" s="1"/>
  <c r="U108" i="11"/>
  <c r="V108" i="11" s="1"/>
  <c r="F108" i="11" s="1"/>
  <c r="C109" i="11"/>
  <c r="B110" i="11"/>
  <c r="E109" i="11"/>
  <c r="D109" i="11"/>
  <c r="S109" i="11" s="1"/>
  <c r="B135" i="12" l="1"/>
  <c r="J51" i="11"/>
  <c r="H51" i="11" s="1"/>
  <c r="U109" i="11"/>
  <c r="V109" i="11" s="1"/>
  <c r="F109" i="11" s="1"/>
  <c r="C110" i="11"/>
  <c r="D110" i="11"/>
  <c r="S110" i="11" s="1"/>
  <c r="B111" i="11"/>
  <c r="E110" i="11"/>
  <c r="B136" i="12" l="1"/>
  <c r="I51" i="11"/>
  <c r="L51" i="11" s="1"/>
  <c r="C76" i="12" s="1"/>
  <c r="U110" i="11"/>
  <c r="V110" i="11" s="1"/>
  <c r="F110" i="11" s="1"/>
  <c r="C111" i="11"/>
  <c r="B112" i="11"/>
  <c r="E111" i="11"/>
  <c r="D111" i="11"/>
  <c r="B137" i="12" l="1"/>
  <c r="N51" i="11"/>
  <c r="K51" i="11"/>
  <c r="G52" i="11" s="1"/>
  <c r="D112" i="11"/>
  <c r="S112" i="11" s="1"/>
  <c r="S111" i="11"/>
  <c r="C112" i="11"/>
  <c r="B113" i="11"/>
  <c r="E112" i="11"/>
  <c r="B138" i="12" l="1"/>
  <c r="J52" i="11"/>
  <c r="H52" i="11" s="1"/>
  <c r="I52" i="11" s="1"/>
  <c r="N52" i="11" s="1"/>
  <c r="U111" i="11"/>
  <c r="V111" i="11" s="1"/>
  <c r="F111" i="11" s="1"/>
  <c r="U112" i="11"/>
  <c r="V112" i="11" s="1"/>
  <c r="F112" i="11" s="1"/>
  <c r="C113" i="11"/>
  <c r="B114" i="11"/>
  <c r="E113" i="11"/>
  <c r="D113" i="11"/>
  <c r="S113" i="11" s="1"/>
  <c r="B139" i="12" l="1"/>
  <c r="K52" i="11"/>
  <c r="G53" i="11" s="1"/>
  <c r="L52" i="11"/>
  <c r="C77" i="12" s="1"/>
  <c r="U113" i="11"/>
  <c r="V113" i="11" s="1"/>
  <c r="F113" i="11" s="1"/>
  <c r="C114" i="11"/>
  <c r="D114" i="11"/>
  <c r="S114" i="11" s="1"/>
  <c r="B115" i="11"/>
  <c r="E114" i="11"/>
  <c r="B140" i="12" l="1"/>
  <c r="J53" i="11"/>
  <c r="H53" i="11" s="1"/>
  <c r="H13" i="9" s="1"/>
  <c r="U114" i="11"/>
  <c r="V114" i="11" s="1"/>
  <c r="F114" i="11" s="1"/>
  <c r="C115" i="11"/>
  <c r="B116" i="11"/>
  <c r="E115" i="11"/>
  <c r="D115" i="11"/>
  <c r="B141" i="12" l="1"/>
  <c r="I53" i="11"/>
  <c r="K53" i="11" s="1"/>
  <c r="G54" i="11" s="1"/>
  <c r="J54" i="11" s="1"/>
  <c r="H54" i="11" s="1"/>
  <c r="H34" i="9"/>
  <c r="H18" i="9"/>
  <c r="H57" i="9"/>
  <c r="H14" i="9"/>
  <c r="H55" i="9"/>
  <c r="H19" i="9"/>
  <c r="H58" i="9"/>
  <c r="H56" i="9"/>
  <c r="H54" i="9"/>
  <c r="L53" i="11"/>
  <c r="C78" i="12" s="1"/>
  <c r="N53" i="11"/>
  <c r="D116" i="11"/>
  <c r="S116" i="11" s="1"/>
  <c r="S115" i="11"/>
  <c r="C116" i="11"/>
  <c r="B117" i="11"/>
  <c r="E116" i="11"/>
  <c r="I54" i="11" l="1"/>
  <c r="N54" i="11" s="1"/>
  <c r="B142" i="12"/>
  <c r="H69" i="9"/>
  <c r="H68" i="9"/>
  <c r="H66" i="9"/>
  <c r="H67" i="9"/>
  <c r="H70" i="9"/>
  <c r="H35" i="9"/>
  <c r="U115" i="11"/>
  <c r="V115" i="11" s="1"/>
  <c r="F115" i="11" s="1"/>
  <c r="U116" i="11"/>
  <c r="V116" i="11" s="1"/>
  <c r="F116" i="11" s="1"/>
  <c r="C117" i="11"/>
  <c r="B118" i="11"/>
  <c r="E117" i="11"/>
  <c r="D117" i="11"/>
  <c r="S117" i="11" s="1"/>
  <c r="K54" i="11" l="1"/>
  <c r="G55" i="11" s="1"/>
  <c r="L54" i="11"/>
  <c r="C79" i="12" s="1"/>
  <c r="B143" i="12"/>
  <c r="J55" i="11"/>
  <c r="H55" i="11" s="1"/>
  <c r="U117" i="11"/>
  <c r="V117" i="11" s="1"/>
  <c r="F117" i="11" s="1"/>
  <c r="C118" i="11"/>
  <c r="D118" i="11"/>
  <c r="S118" i="11" s="1"/>
  <c r="B119" i="11"/>
  <c r="E118" i="11"/>
  <c r="I55" i="11" l="1"/>
  <c r="N55" i="11" s="1"/>
  <c r="B144" i="12"/>
  <c r="U118" i="11"/>
  <c r="V118" i="11" s="1"/>
  <c r="F118" i="11" s="1"/>
  <c r="C119" i="11"/>
  <c r="B120" i="11"/>
  <c r="E119" i="11"/>
  <c r="D119" i="11"/>
  <c r="L55" i="11" l="1"/>
  <c r="C80" i="12" s="1"/>
  <c r="K55" i="11"/>
  <c r="G56" i="11" s="1"/>
  <c r="J56" i="11" s="1"/>
  <c r="B145" i="12"/>
  <c r="D120" i="11"/>
  <c r="S120" i="11" s="1"/>
  <c r="S119" i="11"/>
  <c r="C120" i="11"/>
  <c r="B121" i="11"/>
  <c r="E120" i="11"/>
  <c r="H56" i="11" l="1"/>
  <c r="I56" i="11" s="1"/>
  <c r="N56" i="11" s="1"/>
  <c r="B146" i="12"/>
  <c r="U119" i="11"/>
  <c r="V119" i="11" s="1"/>
  <c r="F119" i="11" s="1"/>
  <c r="U120" i="11"/>
  <c r="V120" i="11" s="1"/>
  <c r="F120" i="11" s="1"/>
  <c r="C121" i="11"/>
  <c r="B122" i="11"/>
  <c r="E121" i="11"/>
  <c r="D121" i="11"/>
  <c r="S121" i="11" s="1"/>
  <c r="L56" i="11" l="1"/>
  <c r="C81" i="12" s="1"/>
  <c r="K56" i="11"/>
  <c r="G57" i="11" s="1"/>
  <c r="B147" i="12"/>
  <c r="J57" i="11"/>
  <c r="H57" i="11" s="1"/>
  <c r="I57" i="11" s="1"/>
  <c r="N57" i="11" s="1"/>
  <c r="U121" i="11"/>
  <c r="V121" i="11" s="1"/>
  <c r="F121" i="11" s="1"/>
  <c r="C122" i="11"/>
  <c r="D122" i="11"/>
  <c r="S122" i="11" s="1"/>
  <c r="B123" i="11"/>
  <c r="E122" i="11"/>
  <c r="B148" i="12" l="1"/>
  <c r="K57" i="11"/>
  <c r="G58" i="11" s="1"/>
  <c r="L57" i="11"/>
  <c r="C82" i="12" s="1"/>
  <c r="U122" i="11"/>
  <c r="V122" i="11" s="1"/>
  <c r="F122" i="11" s="1"/>
  <c r="C123" i="11"/>
  <c r="B124" i="11"/>
  <c r="E123" i="11"/>
  <c r="D123" i="11"/>
  <c r="S123" i="11" s="1"/>
  <c r="B149" i="12" l="1"/>
  <c r="J58" i="11"/>
  <c r="H58" i="11" s="1"/>
  <c r="I58" i="11" s="1"/>
  <c r="N58" i="11" s="1"/>
  <c r="U123" i="11"/>
  <c r="V123" i="11" s="1"/>
  <c r="F123" i="11" s="1"/>
  <c r="C124" i="11"/>
  <c r="D124" i="11"/>
  <c r="S124" i="11" s="1"/>
  <c r="B125" i="11"/>
  <c r="E124" i="11"/>
  <c r="B150" i="12" l="1"/>
  <c r="K58" i="11"/>
  <c r="G59" i="11" s="1"/>
  <c r="L58" i="11"/>
  <c r="C83" i="12" s="1"/>
  <c r="U124" i="11"/>
  <c r="V124" i="11" s="1"/>
  <c r="F124" i="11" s="1"/>
  <c r="C125" i="11"/>
  <c r="B126" i="11"/>
  <c r="E125" i="11"/>
  <c r="D125" i="11"/>
  <c r="S125" i="11" s="1"/>
  <c r="J59" i="11" l="1"/>
  <c r="H59" i="11" s="1"/>
  <c r="U125" i="11"/>
  <c r="V125" i="11" s="1"/>
  <c r="F125" i="11" s="1"/>
  <c r="B151" i="12"/>
  <c r="D126" i="11"/>
  <c r="S126" i="11" s="1"/>
  <c r="T126" i="11" s="1"/>
  <c r="C126" i="11"/>
  <c r="B127" i="11"/>
  <c r="E126" i="11"/>
  <c r="I59" i="11" l="1"/>
  <c r="N59" i="11" s="1"/>
  <c r="U126" i="11"/>
  <c r="V126" i="11"/>
  <c r="F126" i="11" s="1"/>
  <c r="B152" i="12"/>
  <c r="C127" i="11"/>
  <c r="B128" i="11"/>
  <c r="E127" i="11"/>
  <c r="D127" i="11"/>
  <c r="S127" i="11" s="1"/>
  <c r="T127" i="11" s="1"/>
  <c r="L59" i="11" l="1"/>
  <c r="C84" i="12" s="1"/>
  <c r="K59" i="11"/>
  <c r="G60" i="11" s="1"/>
  <c r="J60" i="11" s="1"/>
  <c r="H60" i="11" s="1"/>
  <c r="I60" i="11" s="1"/>
  <c r="N60" i="11" s="1"/>
  <c r="U127" i="11"/>
  <c r="V127" i="11" s="1"/>
  <c r="F127" i="11" s="1"/>
  <c r="B153" i="12"/>
  <c r="D128" i="11"/>
  <c r="S128" i="11" s="1"/>
  <c r="T128" i="11" s="1"/>
  <c r="C128" i="11"/>
  <c r="B129" i="11"/>
  <c r="E128" i="11"/>
  <c r="K60" i="11" l="1"/>
  <c r="G61" i="11" s="1"/>
  <c r="L60" i="11"/>
  <c r="C85" i="12" s="1"/>
  <c r="U128" i="11"/>
  <c r="V128" i="11" s="1"/>
  <c r="F128" i="11" s="1"/>
  <c r="B154" i="12"/>
  <c r="C129" i="11"/>
  <c r="B130" i="11"/>
  <c r="E129" i="11"/>
  <c r="D129" i="11"/>
  <c r="S129" i="11" s="1"/>
  <c r="T129" i="11" s="1"/>
  <c r="J61" i="11" l="1"/>
  <c r="H61" i="11" s="1"/>
  <c r="I61" i="11" s="1"/>
  <c r="N61" i="11" s="1"/>
  <c r="U129" i="11"/>
  <c r="V129" i="11" s="1"/>
  <c r="F129" i="11" s="1"/>
  <c r="B155" i="12"/>
  <c r="C130" i="11"/>
  <c r="D130" i="11"/>
  <c r="S130" i="11" s="1"/>
  <c r="T130" i="11" s="1"/>
  <c r="B131" i="11"/>
  <c r="E130" i="11"/>
  <c r="K61" i="11" l="1"/>
  <c r="G62" i="11" s="1"/>
  <c r="L61" i="11"/>
  <c r="C86" i="12" s="1"/>
  <c r="U130" i="11"/>
  <c r="V130" i="11" s="1"/>
  <c r="F130" i="11" s="1"/>
  <c r="B156" i="12"/>
  <c r="C131" i="11"/>
  <c r="B132" i="11"/>
  <c r="E131" i="11"/>
  <c r="D131" i="11"/>
  <c r="S131" i="11" s="1"/>
  <c r="T131" i="11" s="1"/>
  <c r="J62" i="11" l="1"/>
  <c r="H62" i="11" s="1"/>
  <c r="I62" i="11" s="1"/>
  <c r="N62" i="11" s="1"/>
  <c r="U131" i="11"/>
  <c r="V131" i="11" s="1"/>
  <c r="F131" i="11" s="1"/>
  <c r="B157" i="12"/>
  <c r="C132" i="11"/>
  <c r="D132" i="11"/>
  <c r="S132" i="11" s="1"/>
  <c r="T132" i="11" s="1"/>
  <c r="B133" i="11"/>
  <c r="E132" i="11"/>
  <c r="K62" i="11" l="1"/>
  <c r="G63" i="11" s="1"/>
  <c r="L62" i="11"/>
  <c r="C87" i="12" s="1"/>
  <c r="U132" i="11"/>
  <c r="V132" i="11" s="1"/>
  <c r="F132" i="11" s="1"/>
  <c r="B158" i="12"/>
  <c r="C133" i="11"/>
  <c r="B134" i="11"/>
  <c r="E133" i="11"/>
  <c r="D133" i="11"/>
  <c r="S133" i="11" s="1"/>
  <c r="T133" i="11" s="1"/>
  <c r="J63" i="11" l="1"/>
  <c r="H63" i="11" s="1"/>
  <c r="I63" i="11" s="1"/>
  <c r="N63" i="11" s="1"/>
  <c r="U133" i="11"/>
  <c r="V133" i="11" s="1"/>
  <c r="F133" i="11" s="1"/>
  <c r="B159" i="12"/>
  <c r="C134" i="11"/>
  <c r="D134" i="11"/>
  <c r="S134" i="11" s="1"/>
  <c r="T134" i="11" s="1"/>
  <c r="B135" i="11"/>
  <c r="E134" i="11"/>
  <c r="K63" i="11" l="1"/>
  <c r="G64" i="11" s="1"/>
  <c r="L63" i="11"/>
  <c r="C88" i="12" s="1"/>
  <c r="U134" i="11"/>
  <c r="V134" i="11" s="1"/>
  <c r="F134" i="11" s="1"/>
  <c r="B160" i="12"/>
  <c r="C135" i="11"/>
  <c r="B136" i="11"/>
  <c r="E135" i="11"/>
  <c r="D135" i="11"/>
  <c r="S135" i="11" s="1"/>
  <c r="T135" i="11" s="1"/>
  <c r="J64" i="11" l="1"/>
  <c r="H64" i="11" s="1"/>
  <c r="I64" i="11" s="1"/>
  <c r="N64" i="11" s="1"/>
  <c r="U135" i="11"/>
  <c r="V135" i="11" s="1"/>
  <c r="F135" i="11" s="1"/>
  <c r="B161" i="12"/>
  <c r="C136" i="11"/>
  <c r="D136" i="11"/>
  <c r="S136" i="11" s="1"/>
  <c r="T136" i="11" s="1"/>
  <c r="B137" i="11"/>
  <c r="E136" i="11"/>
  <c r="K64" i="11" l="1"/>
  <c r="G65" i="11" s="1"/>
  <c r="L64" i="11"/>
  <c r="C89" i="12" s="1"/>
  <c r="U136" i="11"/>
  <c r="V136" i="11" s="1"/>
  <c r="F136" i="11" s="1"/>
  <c r="B162" i="12"/>
  <c r="C137" i="11"/>
  <c r="D137" i="11"/>
  <c r="S137" i="11" s="1"/>
  <c r="T137" i="11" s="1"/>
  <c r="B138" i="11"/>
  <c r="E137" i="11"/>
  <c r="J65" i="11" l="1"/>
  <c r="H65" i="11" s="1"/>
  <c r="I13" i="9" s="1"/>
  <c r="U137" i="11"/>
  <c r="V137" i="11"/>
  <c r="F137" i="11" s="1"/>
  <c r="B163" i="12"/>
  <c r="C138" i="11"/>
  <c r="B139" i="11"/>
  <c r="E138" i="11"/>
  <c r="D138" i="11"/>
  <c r="S138" i="11" s="1"/>
  <c r="T138" i="11" s="1"/>
  <c r="I34" i="9" l="1"/>
  <c r="I55" i="9"/>
  <c r="I57" i="9"/>
  <c r="I18" i="9"/>
  <c r="I58" i="9"/>
  <c r="I19" i="9"/>
  <c r="I54" i="9"/>
  <c r="I14" i="9"/>
  <c r="I56" i="9"/>
  <c r="I65" i="11"/>
  <c r="U138" i="11"/>
  <c r="V138" i="11" s="1"/>
  <c r="F138" i="11" s="1"/>
  <c r="B164" i="12"/>
  <c r="C139" i="11"/>
  <c r="D139" i="11"/>
  <c r="S139" i="11" s="1"/>
  <c r="T139" i="11" s="1"/>
  <c r="B140" i="11"/>
  <c r="E139" i="11"/>
  <c r="L65" i="11" l="1"/>
  <c r="C90" i="12" s="1"/>
  <c r="K65" i="11"/>
  <c r="G66" i="11" s="1"/>
  <c r="N65" i="11"/>
  <c r="I69" i="9"/>
  <c r="I68" i="9"/>
  <c r="I70" i="9"/>
  <c r="I67" i="9"/>
  <c r="I35" i="9"/>
  <c r="I66" i="9"/>
  <c r="U139" i="11"/>
  <c r="V139" i="11" s="1"/>
  <c r="F139" i="11" s="1"/>
  <c r="B165" i="12"/>
  <c r="C140" i="11"/>
  <c r="B141" i="11"/>
  <c r="E140" i="11"/>
  <c r="D140" i="11"/>
  <c r="S140" i="11" s="1"/>
  <c r="T140" i="11" s="1"/>
  <c r="J66" i="11" l="1"/>
  <c r="H66" i="11" s="1"/>
  <c r="U140" i="11"/>
  <c r="V140" i="11"/>
  <c r="F140" i="11" s="1"/>
  <c r="B166" i="12"/>
  <c r="C141" i="11"/>
  <c r="D141" i="11"/>
  <c r="S141" i="11" s="1"/>
  <c r="T141" i="11" s="1"/>
  <c r="B142" i="11"/>
  <c r="E141" i="11"/>
  <c r="I66" i="11" l="1"/>
  <c r="L66" i="11" s="1"/>
  <c r="C91" i="12" s="1"/>
  <c r="U141" i="11"/>
  <c r="V141" i="11"/>
  <c r="F141" i="11" s="1"/>
  <c r="B167" i="12"/>
  <c r="C142" i="11"/>
  <c r="B143" i="11"/>
  <c r="E142" i="11"/>
  <c r="D142" i="11"/>
  <c r="S142" i="11" s="1"/>
  <c r="T142" i="11" s="1"/>
  <c r="N66" i="11" l="1"/>
  <c r="K66" i="11"/>
  <c r="G67" i="11" s="1"/>
  <c r="U142" i="11"/>
  <c r="V142" i="11"/>
  <c r="F142" i="11" s="1"/>
  <c r="B168" i="12"/>
  <c r="C143" i="11"/>
  <c r="D143" i="11"/>
  <c r="S143" i="11" s="1"/>
  <c r="T143" i="11" s="1"/>
  <c r="B144" i="11"/>
  <c r="E143" i="11"/>
  <c r="J67" i="11" l="1"/>
  <c r="H67" i="11" s="1"/>
  <c r="U143" i="11"/>
  <c r="V143" i="11" s="1"/>
  <c r="F143" i="11" s="1"/>
  <c r="B169" i="12"/>
  <c r="C144" i="11"/>
  <c r="B145" i="11"/>
  <c r="E144" i="11"/>
  <c r="D144" i="11"/>
  <c r="S144" i="11" s="1"/>
  <c r="T144" i="11" s="1"/>
  <c r="I67" i="11" l="1"/>
  <c r="N67" i="11" s="1"/>
  <c r="U144" i="11"/>
  <c r="V144" i="11" s="1"/>
  <c r="F144" i="11" s="1"/>
  <c r="B170" i="12"/>
  <c r="C145" i="11"/>
  <c r="D145" i="11"/>
  <c r="S145" i="11" s="1"/>
  <c r="T145" i="11" s="1"/>
  <c r="B146" i="11"/>
  <c r="E145" i="11"/>
  <c r="L67" i="11" l="1"/>
  <c r="C92" i="12" s="1"/>
  <c r="K67" i="11"/>
  <c r="G68" i="11" s="1"/>
  <c r="J68" i="11" s="1"/>
  <c r="H68" i="11" s="1"/>
  <c r="I68" i="11" s="1"/>
  <c r="N68" i="11" s="1"/>
  <c r="U145" i="11"/>
  <c r="V145" i="11" s="1"/>
  <c r="F145" i="11" s="1"/>
  <c r="B171" i="12"/>
  <c r="C146" i="11"/>
  <c r="B147" i="11"/>
  <c r="E146" i="11"/>
  <c r="D146" i="11"/>
  <c r="S146" i="11" s="1"/>
  <c r="T146" i="11" s="1"/>
  <c r="K68" i="11" l="1"/>
  <c r="G69" i="11" s="1"/>
  <c r="L68" i="11"/>
  <c r="C93" i="12" s="1"/>
  <c r="U146" i="11"/>
  <c r="V146" i="11" s="1"/>
  <c r="F146" i="11" s="1"/>
  <c r="B172" i="12"/>
  <c r="C147" i="11"/>
  <c r="D147" i="11"/>
  <c r="S147" i="11" s="1"/>
  <c r="T147" i="11" s="1"/>
  <c r="B148" i="11"/>
  <c r="E147" i="11"/>
  <c r="J69" i="11" l="1"/>
  <c r="H69" i="11" s="1"/>
  <c r="I69" i="11" s="1"/>
  <c r="N69" i="11" s="1"/>
  <c r="U147" i="11"/>
  <c r="V147" i="11" s="1"/>
  <c r="F147" i="11" s="1"/>
  <c r="B173" i="12"/>
  <c r="C148" i="11"/>
  <c r="B149" i="11"/>
  <c r="E148" i="11"/>
  <c r="D148" i="11"/>
  <c r="S148" i="11" s="1"/>
  <c r="T148" i="11" s="1"/>
  <c r="K69" i="11" l="1"/>
  <c r="G70" i="11" s="1"/>
  <c r="L69" i="11"/>
  <c r="C94" i="12" s="1"/>
  <c r="U148" i="11"/>
  <c r="V148" i="11" s="1"/>
  <c r="F148" i="11" s="1"/>
  <c r="B174" i="12"/>
  <c r="C149" i="11"/>
  <c r="D149" i="11"/>
  <c r="S149" i="11" s="1"/>
  <c r="T149" i="11" s="1"/>
  <c r="B150" i="11"/>
  <c r="E149" i="11"/>
  <c r="J70" i="11" l="1"/>
  <c r="H70" i="11" s="1"/>
  <c r="I70" i="11" s="1"/>
  <c r="N70" i="11" s="1"/>
  <c r="U149" i="11"/>
  <c r="V149" i="11" s="1"/>
  <c r="F149" i="11" s="1"/>
  <c r="B175" i="12"/>
  <c r="C150" i="11"/>
  <c r="B151" i="11"/>
  <c r="E150" i="11"/>
  <c r="D150" i="11"/>
  <c r="S150" i="11" s="1"/>
  <c r="T150" i="11" s="1"/>
  <c r="K70" i="11" l="1"/>
  <c r="G71" i="11" s="1"/>
  <c r="L70" i="11"/>
  <c r="C95" i="12" s="1"/>
  <c r="U150" i="11"/>
  <c r="V150" i="11" s="1"/>
  <c r="F150" i="11" s="1"/>
  <c r="B176" i="12"/>
  <c r="C151" i="11"/>
  <c r="D151" i="11"/>
  <c r="S151" i="11" s="1"/>
  <c r="T151" i="11" s="1"/>
  <c r="B152" i="11"/>
  <c r="E151" i="11"/>
  <c r="J71" i="11" l="1"/>
  <c r="H71" i="11" s="1"/>
  <c r="I71" i="11" s="1"/>
  <c r="N71" i="11" s="1"/>
  <c r="U151" i="11"/>
  <c r="V151" i="11" s="1"/>
  <c r="F151" i="11" s="1"/>
  <c r="B177" i="12"/>
  <c r="C152" i="11"/>
  <c r="B153" i="11"/>
  <c r="E152" i="11"/>
  <c r="D152" i="11"/>
  <c r="S152" i="11" s="1"/>
  <c r="T152" i="11" s="1"/>
  <c r="K71" i="11" l="1"/>
  <c r="G72" i="11" s="1"/>
  <c r="L71" i="11"/>
  <c r="C96" i="12" s="1"/>
  <c r="U152" i="11"/>
  <c r="V152" i="11" s="1"/>
  <c r="F152" i="11" s="1"/>
  <c r="B178" i="12"/>
  <c r="C153" i="11"/>
  <c r="D153" i="11"/>
  <c r="S153" i="11" s="1"/>
  <c r="T153" i="11" s="1"/>
  <c r="B154" i="11"/>
  <c r="E153" i="11"/>
  <c r="J72" i="11" l="1"/>
  <c r="H72" i="11" s="1"/>
  <c r="I72" i="11" s="1"/>
  <c r="N72" i="11" s="1"/>
  <c r="U153" i="11"/>
  <c r="V153" i="11" s="1"/>
  <c r="F153" i="11" s="1"/>
  <c r="B179" i="12"/>
  <c r="C154" i="11"/>
  <c r="B155" i="11"/>
  <c r="E154" i="11"/>
  <c r="D154" i="11"/>
  <c r="S154" i="11" s="1"/>
  <c r="T154" i="11" s="1"/>
  <c r="K72" i="11" l="1"/>
  <c r="G73" i="11" s="1"/>
  <c r="L72" i="11"/>
  <c r="C97" i="12" s="1"/>
  <c r="U154" i="11"/>
  <c r="V154" i="11" s="1"/>
  <c r="F154" i="11" s="1"/>
  <c r="B180" i="12"/>
  <c r="C155" i="11"/>
  <c r="D155" i="11"/>
  <c r="S155" i="11" s="1"/>
  <c r="T155" i="11" s="1"/>
  <c r="B156" i="11"/>
  <c r="E155" i="11"/>
  <c r="J73" i="11" l="1"/>
  <c r="H73" i="11" s="1"/>
  <c r="I73" i="11" s="1"/>
  <c r="N73" i="11" s="1"/>
  <c r="U155" i="11"/>
  <c r="V155" i="11" s="1"/>
  <c r="F155" i="11" s="1"/>
  <c r="B181" i="12"/>
  <c r="C156" i="11"/>
  <c r="B157" i="11"/>
  <c r="E156" i="11"/>
  <c r="D156" i="11"/>
  <c r="S156" i="11" s="1"/>
  <c r="T156" i="11" s="1"/>
  <c r="K73" i="11" l="1"/>
  <c r="G74" i="11" s="1"/>
  <c r="L73" i="11"/>
  <c r="C98" i="12" s="1"/>
  <c r="U156" i="11"/>
  <c r="V156" i="11" s="1"/>
  <c r="F156" i="11" s="1"/>
  <c r="B182" i="12"/>
  <c r="C157" i="11"/>
  <c r="D157" i="11"/>
  <c r="S157" i="11" s="1"/>
  <c r="T157" i="11" s="1"/>
  <c r="B158" i="11"/>
  <c r="E157" i="11"/>
  <c r="J74" i="11" l="1"/>
  <c r="H74" i="11" s="1"/>
  <c r="I74" i="11" s="1"/>
  <c r="N74" i="11" s="1"/>
  <c r="U157" i="11"/>
  <c r="V157" i="11"/>
  <c r="F157" i="11" s="1"/>
  <c r="B183" i="12"/>
  <c r="C158" i="11"/>
  <c r="B159" i="11"/>
  <c r="E158" i="11"/>
  <c r="D158" i="11"/>
  <c r="S158" i="11" s="1"/>
  <c r="T158" i="11" s="1"/>
  <c r="K74" i="11" l="1"/>
  <c r="G75" i="11" s="1"/>
  <c r="L74" i="11"/>
  <c r="C99" i="12" s="1"/>
  <c r="U158" i="11"/>
  <c r="V158" i="11" s="1"/>
  <c r="F158" i="11" s="1"/>
  <c r="B184" i="12"/>
  <c r="C159" i="11"/>
  <c r="D159" i="11"/>
  <c r="S159" i="11" s="1"/>
  <c r="T159" i="11" s="1"/>
  <c r="B160" i="11"/>
  <c r="E159" i="11"/>
  <c r="J75" i="11" l="1"/>
  <c r="H75" i="11" s="1"/>
  <c r="I75" i="11" s="1"/>
  <c r="U159" i="11"/>
  <c r="V159" i="11"/>
  <c r="F159" i="11" s="1"/>
  <c r="B185" i="12"/>
  <c r="C160" i="11"/>
  <c r="B161" i="11"/>
  <c r="E160" i="11"/>
  <c r="D160" i="11"/>
  <c r="S160" i="11" s="1"/>
  <c r="T160" i="11" s="1"/>
  <c r="K75" i="11" l="1"/>
  <c r="G76" i="11" s="1"/>
  <c r="N75" i="11"/>
  <c r="L75" i="11"/>
  <c r="C100" i="12" s="1"/>
  <c r="U160" i="11"/>
  <c r="V160" i="11" s="1"/>
  <c r="F160" i="11" s="1"/>
  <c r="B186" i="12"/>
  <c r="D161" i="11"/>
  <c r="S161" i="11" s="1"/>
  <c r="T161" i="11" s="1"/>
  <c r="C161" i="11"/>
  <c r="B162" i="11"/>
  <c r="E161" i="11"/>
  <c r="J76" i="11" l="1"/>
  <c r="H76" i="11" s="1"/>
  <c r="U161" i="11"/>
  <c r="V161" i="11"/>
  <c r="F161" i="11" s="1"/>
  <c r="B187" i="12"/>
  <c r="C162" i="11"/>
  <c r="B163" i="11"/>
  <c r="E162" i="11"/>
  <c r="D162" i="11"/>
  <c r="S162" i="11" s="1"/>
  <c r="T162" i="11" s="1"/>
  <c r="I76" i="11" l="1"/>
  <c r="U162" i="11"/>
  <c r="V162" i="11"/>
  <c r="F162" i="11" s="1"/>
  <c r="B188" i="12"/>
  <c r="C163" i="11"/>
  <c r="D163" i="11"/>
  <c r="S163" i="11" s="1"/>
  <c r="T163" i="11" s="1"/>
  <c r="B164" i="11"/>
  <c r="E163" i="11"/>
  <c r="N76" i="11" l="1"/>
  <c r="K76" i="11"/>
  <c r="G77" i="11" s="1"/>
  <c r="L76" i="11"/>
  <c r="C101" i="12" s="1"/>
  <c r="U163" i="11"/>
  <c r="V163" i="11" s="1"/>
  <c r="F163" i="11" s="1"/>
  <c r="B189" i="12"/>
  <c r="C164" i="11"/>
  <c r="B165" i="11"/>
  <c r="E164" i="11"/>
  <c r="D164" i="11"/>
  <c r="S164" i="11" s="1"/>
  <c r="T164" i="11" s="1"/>
  <c r="J77" i="11" l="1"/>
  <c r="H77" i="11" s="1"/>
  <c r="J13" i="9" s="1"/>
  <c r="U164" i="11"/>
  <c r="V164" i="11" s="1"/>
  <c r="F164" i="11" s="1"/>
  <c r="B190" i="12"/>
  <c r="C165" i="11"/>
  <c r="D165" i="11"/>
  <c r="S165" i="11" s="1"/>
  <c r="T165" i="11" s="1"/>
  <c r="B166" i="11"/>
  <c r="E165" i="11"/>
  <c r="J54" i="9" l="1"/>
  <c r="J56" i="9"/>
  <c r="J58" i="9"/>
  <c r="J34" i="9"/>
  <c r="J19" i="9"/>
  <c r="J14" i="9"/>
  <c r="J55" i="9"/>
  <c r="J18" i="9"/>
  <c r="J57" i="9"/>
  <c r="I77" i="11"/>
  <c r="U165" i="11"/>
  <c r="V165" i="11" s="1"/>
  <c r="F165" i="11" s="1"/>
  <c r="B191" i="12"/>
  <c r="C166" i="11"/>
  <c r="B167" i="11"/>
  <c r="E166" i="11"/>
  <c r="D166" i="11"/>
  <c r="S166" i="11" s="1"/>
  <c r="T166" i="11" s="1"/>
  <c r="L77" i="11" l="1"/>
  <c r="C102" i="12" s="1"/>
  <c r="N77" i="11"/>
  <c r="K77" i="11"/>
  <c r="G78" i="11" s="1"/>
  <c r="J68" i="9"/>
  <c r="J69" i="9"/>
  <c r="J70" i="9"/>
  <c r="J67" i="9"/>
  <c r="J66" i="9"/>
  <c r="J35" i="9"/>
  <c r="U166" i="11"/>
  <c r="V166" i="11" s="1"/>
  <c r="F166" i="11" s="1"/>
  <c r="B192" i="12"/>
  <c r="C167" i="11"/>
  <c r="D167" i="11"/>
  <c r="S167" i="11" s="1"/>
  <c r="T167" i="11" s="1"/>
  <c r="B168" i="11"/>
  <c r="E167" i="11"/>
  <c r="J78" i="11" l="1"/>
  <c r="H78" i="11" s="1"/>
  <c r="I78" i="11" s="1"/>
  <c r="N78" i="11" s="1"/>
  <c r="U167" i="11"/>
  <c r="V167" i="11" s="1"/>
  <c r="F167" i="11" s="1"/>
  <c r="B193" i="12"/>
  <c r="C168" i="11"/>
  <c r="B169" i="11"/>
  <c r="E168" i="11"/>
  <c r="D168" i="11"/>
  <c r="S168" i="11" s="1"/>
  <c r="T168" i="11" s="1"/>
  <c r="K78" i="11" l="1"/>
  <c r="G79" i="11" s="1"/>
  <c r="L78" i="11"/>
  <c r="C103" i="12" s="1"/>
  <c r="U168" i="11"/>
  <c r="V168" i="11" s="1"/>
  <c r="F168" i="11" s="1"/>
  <c r="B194" i="12"/>
  <c r="C169" i="11"/>
  <c r="D169" i="11"/>
  <c r="S169" i="11" s="1"/>
  <c r="T169" i="11" s="1"/>
  <c r="B170" i="11"/>
  <c r="E169" i="11"/>
  <c r="J79" i="11" l="1"/>
  <c r="H79" i="11" s="1"/>
  <c r="U169" i="11"/>
  <c r="V169" i="11" s="1"/>
  <c r="F169" i="11" s="1"/>
  <c r="B195" i="12"/>
  <c r="C170" i="11"/>
  <c r="B171" i="11"/>
  <c r="E170" i="11"/>
  <c r="D170" i="11"/>
  <c r="S170" i="11" s="1"/>
  <c r="T170" i="11" s="1"/>
  <c r="I79" i="11" l="1"/>
  <c r="L79" i="11" s="1"/>
  <c r="C104" i="12" s="1"/>
  <c r="U170" i="11"/>
  <c r="V170" i="11" s="1"/>
  <c r="F170" i="11" s="1"/>
  <c r="B196" i="12"/>
  <c r="C171" i="11"/>
  <c r="D171" i="11"/>
  <c r="S171" i="11" s="1"/>
  <c r="T171" i="11" s="1"/>
  <c r="B172" i="11"/>
  <c r="E171" i="11"/>
  <c r="N79" i="11" l="1"/>
  <c r="K79" i="11"/>
  <c r="G80" i="11" s="1"/>
  <c r="U171" i="11"/>
  <c r="V171" i="11"/>
  <c r="F171" i="11" s="1"/>
  <c r="B197" i="12"/>
  <c r="C172" i="11"/>
  <c r="B173" i="11"/>
  <c r="E172" i="11"/>
  <c r="D172" i="11"/>
  <c r="S172" i="11" s="1"/>
  <c r="T172" i="11" s="1"/>
  <c r="J80" i="11" l="1"/>
  <c r="H80" i="11" s="1"/>
  <c r="I80" i="11" s="1"/>
  <c r="N80" i="11" s="1"/>
  <c r="U172" i="11"/>
  <c r="V172" i="11" s="1"/>
  <c r="F172" i="11" s="1"/>
  <c r="B198" i="12"/>
  <c r="D173" i="11"/>
  <c r="S173" i="11" s="1"/>
  <c r="T173" i="11" s="1"/>
  <c r="C173" i="11"/>
  <c r="B174" i="11"/>
  <c r="E173" i="11"/>
  <c r="K80" i="11" l="1"/>
  <c r="G81" i="11" s="1"/>
  <c r="L80" i="11"/>
  <c r="C105" i="12" s="1"/>
  <c r="U173" i="11"/>
  <c r="V173" i="11" s="1"/>
  <c r="F173" i="11" s="1"/>
  <c r="B199" i="12"/>
  <c r="C174" i="11"/>
  <c r="B175" i="11"/>
  <c r="E174" i="11"/>
  <c r="D174" i="11"/>
  <c r="S174" i="11" s="1"/>
  <c r="T174" i="11" s="1"/>
  <c r="J81" i="11" l="1"/>
  <c r="H81" i="11" s="1"/>
  <c r="I81" i="11" s="1"/>
  <c r="N81" i="11" s="1"/>
  <c r="U174" i="11"/>
  <c r="V174" i="11"/>
  <c r="F174" i="11" s="1"/>
  <c r="B200" i="12"/>
  <c r="C175" i="11"/>
  <c r="D175" i="11"/>
  <c r="S175" i="11" s="1"/>
  <c r="T175" i="11" s="1"/>
  <c r="B176" i="11"/>
  <c r="E175" i="11"/>
  <c r="K81" i="11" l="1"/>
  <c r="L81" i="11"/>
  <c r="C106" i="12" s="1"/>
  <c r="U175" i="11"/>
  <c r="V175" i="11" s="1"/>
  <c r="F175" i="11" s="1"/>
  <c r="B201" i="12"/>
  <c r="C176" i="11"/>
  <c r="B177" i="11"/>
  <c r="E176" i="11"/>
  <c r="D176" i="11"/>
  <c r="S176" i="11" s="1"/>
  <c r="T176" i="11" s="1"/>
  <c r="G82" i="11" l="1"/>
  <c r="D6" i="12" a="1"/>
  <c r="D6" i="12" s="1"/>
  <c r="U176" i="11"/>
  <c r="V176" i="11" s="1"/>
  <c r="F176" i="11" s="1"/>
  <c r="B202" i="12"/>
  <c r="D177" i="11"/>
  <c r="S177" i="11" s="1"/>
  <c r="T177" i="11" s="1"/>
  <c r="C177" i="11"/>
  <c r="B178" i="11"/>
  <c r="E177" i="11"/>
  <c r="J82" i="11" l="1"/>
  <c r="H82" i="11" s="1"/>
  <c r="I82" i="11" s="1"/>
  <c r="N82" i="11" s="1"/>
  <c r="U177" i="11"/>
  <c r="V177" i="11" s="1"/>
  <c r="F177" i="11" s="1"/>
  <c r="B203" i="12"/>
  <c r="C178" i="11"/>
  <c r="B179" i="11"/>
  <c r="E178" i="11"/>
  <c r="D178" i="11"/>
  <c r="S178" i="11" s="1"/>
  <c r="T178" i="11" s="1"/>
  <c r="K82" i="11" l="1"/>
  <c r="G83" i="11" s="1"/>
  <c r="L82" i="11"/>
  <c r="C107" i="12" s="1"/>
  <c r="U178" i="11"/>
  <c r="V178" i="11"/>
  <c r="F178" i="11" s="1"/>
  <c r="B204" i="12"/>
  <c r="C179" i="11"/>
  <c r="D179" i="11"/>
  <c r="S179" i="11" s="1"/>
  <c r="T179" i="11" s="1"/>
  <c r="B180" i="11"/>
  <c r="E179" i="11"/>
  <c r="J83" i="11" l="1"/>
  <c r="H83" i="11" s="1"/>
  <c r="U179" i="11"/>
  <c r="V179" i="11" s="1"/>
  <c r="F179" i="11" s="1"/>
  <c r="B205" i="12"/>
  <c r="C180" i="11"/>
  <c r="B181" i="11"/>
  <c r="E180" i="11"/>
  <c r="D180" i="11"/>
  <c r="S180" i="11" s="1"/>
  <c r="T180" i="11" s="1"/>
  <c r="I83" i="11" l="1"/>
  <c r="L83" i="11" s="1"/>
  <c r="C108" i="12" s="1"/>
  <c r="U180" i="11"/>
  <c r="V180" i="11"/>
  <c r="F180" i="11" s="1"/>
  <c r="B206" i="12"/>
  <c r="C181" i="11"/>
  <c r="D181" i="11"/>
  <c r="S181" i="11" s="1"/>
  <c r="T181" i="11" s="1"/>
  <c r="B182" i="11"/>
  <c r="E181" i="11"/>
  <c r="N83" i="11" l="1"/>
  <c r="K83" i="11"/>
  <c r="G84" i="11" s="1"/>
  <c r="U181" i="11"/>
  <c r="V181" i="11" s="1"/>
  <c r="F181" i="11" s="1"/>
  <c r="B207" i="12"/>
  <c r="C182" i="11"/>
  <c r="B183" i="11"/>
  <c r="E182" i="11"/>
  <c r="D182" i="11"/>
  <c r="S182" i="11" s="1"/>
  <c r="T182" i="11" s="1"/>
  <c r="J84" i="11" l="1"/>
  <c r="H84" i="11" s="1"/>
  <c r="I84" i="11" s="1"/>
  <c r="N84" i="11" s="1"/>
  <c r="U182" i="11"/>
  <c r="V182" i="11" s="1"/>
  <c r="F182" i="11" s="1"/>
  <c r="B208" i="12"/>
  <c r="C183" i="11"/>
  <c r="D183" i="11"/>
  <c r="S183" i="11" s="1"/>
  <c r="T183" i="11" s="1"/>
  <c r="B184" i="11"/>
  <c r="E183" i="11"/>
  <c r="K84" i="11" l="1"/>
  <c r="G85" i="11" s="1"/>
  <c r="L84" i="11"/>
  <c r="C109" i="12" s="1"/>
  <c r="U183" i="11"/>
  <c r="V183" i="11" s="1"/>
  <c r="F183" i="11" s="1"/>
  <c r="B209" i="12"/>
  <c r="C184" i="11"/>
  <c r="B185" i="11"/>
  <c r="E184" i="11"/>
  <c r="D184" i="11"/>
  <c r="S184" i="11" s="1"/>
  <c r="T184" i="11" s="1"/>
  <c r="J85" i="11" l="1"/>
  <c r="H85" i="11"/>
  <c r="I85" i="11" s="1"/>
  <c r="N85" i="11" s="1"/>
  <c r="U184" i="11"/>
  <c r="V184" i="11" s="1"/>
  <c r="F184" i="11" s="1"/>
  <c r="B210" i="12"/>
  <c r="C185" i="11"/>
  <c r="D185" i="11"/>
  <c r="S185" i="11" s="1"/>
  <c r="T185" i="11" s="1"/>
  <c r="B186" i="11"/>
  <c r="E185" i="11"/>
  <c r="K85" i="11" l="1"/>
  <c r="G86" i="11" s="1"/>
  <c r="J86" i="11" s="1"/>
  <c r="H86" i="11" s="1"/>
  <c r="I86" i="11" s="1"/>
  <c r="N86" i="11" s="1"/>
  <c r="L85" i="11"/>
  <c r="C110" i="12" s="1"/>
  <c r="U185" i="11"/>
  <c r="V185" i="11" s="1"/>
  <c r="F185" i="11" s="1"/>
  <c r="B211" i="12"/>
  <c r="C186" i="11"/>
  <c r="B187" i="11"/>
  <c r="E186" i="11"/>
  <c r="D186" i="11"/>
  <c r="S186" i="11" s="1"/>
  <c r="T186" i="11" s="1"/>
  <c r="K86" i="11" l="1"/>
  <c r="G87" i="11" s="1"/>
  <c r="L86" i="11"/>
  <c r="C111" i="12" s="1"/>
  <c r="U186" i="11"/>
  <c r="V186" i="11" s="1"/>
  <c r="F186" i="11" s="1"/>
  <c r="B212" i="12"/>
  <c r="C187" i="11"/>
  <c r="D187" i="11"/>
  <c r="S187" i="11" s="1"/>
  <c r="T187" i="11" s="1"/>
  <c r="B188" i="11"/>
  <c r="E187" i="11"/>
  <c r="J87" i="11" l="1"/>
  <c r="H87" i="11"/>
  <c r="I87" i="11" s="1"/>
  <c r="N87" i="11" s="1"/>
  <c r="U187" i="11"/>
  <c r="V187" i="11" s="1"/>
  <c r="F187" i="11" s="1"/>
  <c r="B213" i="12"/>
  <c r="C188" i="11"/>
  <c r="B189" i="11"/>
  <c r="E188" i="11"/>
  <c r="D188" i="11"/>
  <c r="S188" i="11" s="1"/>
  <c r="T188" i="11" s="1"/>
  <c r="K87" i="11" l="1"/>
  <c r="G88" i="11" s="1"/>
  <c r="L87" i="11"/>
  <c r="C112" i="12" s="1"/>
  <c r="U188" i="11"/>
  <c r="V188" i="11" s="1"/>
  <c r="F188" i="11" s="1"/>
  <c r="B214" i="12"/>
  <c r="C189" i="11"/>
  <c r="D189" i="11"/>
  <c r="S189" i="11" s="1"/>
  <c r="T189" i="11" s="1"/>
  <c r="B190" i="11"/>
  <c r="E189" i="11"/>
  <c r="J88" i="11" l="1"/>
  <c r="H88" i="11" s="1"/>
  <c r="I88" i="11" s="1"/>
  <c r="N88" i="11" s="1"/>
  <c r="U189" i="11"/>
  <c r="V189" i="11"/>
  <c r="F189" i="11" s="1"/>
  <c r="B215" i="12"/>
  <c r="C190" i="11"/>
  <c r="B191" i="11"/>
  <c r="E190" i="11"/>
  <c r="D190" i="11"/>
  <c r="S190" i="11" s="1"/>
  <c r="T190" i="11" s="1"/>
  <c r="K88" i="11" l="1"/>
  <c r="G89" i="11" s="1"/>
  <c r="L88" i="11"/>
  <c r="C113" i="12" s="1"/>
  <c r="U190" i="11"/>
  <c r="V190" i="11"/>
  <c r="F190" i="11" s="1"/>
  <c r="B216" i="12"/>
  <c r="D191" i="11"/>
  <c r="S191" i="11" s="1"/>
  <c r="T191" i="11" s="1"/>
  <c r="C191" i="11"/>
  <c r="B192" i="11"/>
  <c r="E191" i="11"/>
  <c r="J89" i="11" l="1"/>
  <c r="H89" i="11" s="1"/>
  <c r="K13" i="9" s="1"/>
  <c r="U191" i="11"/>
  <c r="V191" i="11" s="1"/>
  <c r="F191" i="11" s="1"/>
  <c r="B217" i="12"/>
  <c r="C192" i="11"/>
  <c r="B193" i="11"/>
  <c r="E192" i="11"/>
  <c r="D192" i="11"/>
  <c r="S192" i="11" s="1"/>
  <c r="T192" i="11" s="1"/>
  <c r="I89" i="11" l="1"/>
  <c r="K34" i="9"/>
  <c r="K55" i="9"/>
  <c r="K57" i="9"/>
  <c r="K18" i="9"/>
  <c r="K54" i="9"/>
  <c r="K14" i="9"/>
  <c r="K58" i="9"/>
  <c r="K19" i="9"/>
  <c r="K56" i="9"/>
  <c r="L89" i="11"/>
  <c r="C114" i="12" s="1"/>
  <c r="K89" i="11"/>
  <c r="G90" i="11" s="1"/>
  <c r="N89" i="11"/>
  <c r="U192" i="11"/>
  <c r="V192" i="11" s="1"/>
  <c r="F192" i="11" s="1"/>
  <c r="B218" i="12"/>
  <c r="C193" i="11"/>
  <c r="B194" i="11"/>
  <c r="E193" i="11"/>
  <c r="D193" i="11"/>
  <c r="S193" i="11" s="1"/>
  <c r="T193" i="11" s="1"/>
  <c r="J90" i="11" l="1"/>
  <c r="H90" i="11" s="1"/>
  <c r="I90" i="11" s="1"/>
  <c r="N90" i="11" s="1"/>
  <c r="K66" i="9"/>
  <c r="K69" i="9"/>
  <c r="K67" i="9"/>
  <c r="K70" i="9"/>
  <c r="K35" i="9"/>
  <c r="K68" i="9"/>
  <c r="U193" i="11"/>
  <c r="V193" i="11" s="1"/>
  <c r="F193" i="11" s="1"/>
  <c r="B219" i="12"/>
  <c r="C194" i="11"/>
  <c r="D194" i="11"/>
  <c r="S194" i="11" s="1"/>
  <c r="T194" i="11" s="1"/>
  <c r="B195" i="11"/>
  <c r="E194" i="11"/>
  <c r="K90" i="11" l="1"/>
  <c r="G91" i="11" s="1"/>
  <c r="L90" i="11"/>
  <c r="C115" i="12" s="1"/>
  <c r="U194" i="11"/>
  <c r="V194" i="11" s="1"/>
  <c r="F194" i="11" s="1"/>
  <c r="B220" i="12"/>
  <c r="C195" i="11"/>
  <c r="B196" i="11"/>
  <c r="E195" i="11"/>
  <c r="D195" i="11"/>
  <c r="S195" i="11" s="1"/>
  <c r="T195" i="11" s="1"/>
  <c r="J91" i="11" l="1"/>
  <c r="H91" i="11" s="1"/>
  <c r="I91" i="11" s="1"/>
  <c r="N91" i="11" s="1"/>
  <c r="U195" i="11"/>
  <c r="V195" i="11" s="1"/>
  <c r="F195" i="11" s="1"/>
  <c r="B221" i="12"/>
  <c r="C196" i="11"/>
  <c r="D196" i="11"/>
  <c r="S196" i="11" s="1"/>
  <c r="T196" i="11" s="1"/>
  <c r="B197" i="11"/>
  <c r="E196" i="11"/>
  <c r="K91" i="11" l="1"/>
  <c r="G92" i="11" s="1"/>
  <c r="L91" i="11"/>
  <c r="C116" i="12" s="1"/>
  <c r="U196" i="11"/>
  <c r="V196" i="11"/>
  <c r="F196" i="11" s="1"/>
  <c r="B222" i="12"/>
  <c r="C197" i="11"/>
  <c r="B198" i="11"/>
  <c r="E197" i="11"/>
  <c r="D197" i="11"/>
  <c r="S197" i="11" s="1"/>
  <c r="T197" i="11" s="1"/>
  <c r="J92" i="11" l="1"/>
  <c r="H92" i="11" s="1"/>
  <c r="I92" i="11" s="1"/>
  <c r="N92" i="11" s="1"/>
  <c r="U197" i="11"/>
  <c r="V197" i="11" s="1"/>
  <c r="F197" i="11" s="1"/>
  <c r="B223" i="12"/>
  <c r="C198" i="11"/>
  <c r="D198" i="11"/>
  <c r="S198" i="11" s="1"/>
  <c r="T198" i="11" s="1"/>
  <c r="B199" i="11"/>
  <c r="E198" i="11"/>
  <c r="K92" i="11" l="1"/>
  <c r="G93" i="11" s="1"/>
  <c r="L92" i="11"/>
  <c r="C117" i="12" s="1"/>
  <c r="U198" i="11"/>
  <c r="V198" i="11" s="1"/>
  <c r="F198" i="11" s="1"/>
  <c r="B224" i="12"/>
  <c r="C199" i="11"/>
  <c r="B200" i="11"/>
  <c r="E199" i="11"/>
  <c r="D199" i="11"/>
  <c r="S199" i="11" s="1"/>
  <c r="T199" i="11" s="1"/>
  <c r="J93" i="11" l="1"/>
  <c r="H93" i="11"/>
  <c r="I93" i="11" s="1"/>
  <c r="N93" i="11" s="1"/>
  <c r="U199" i="11"/>
  <c r="V199" i="11"/>
  <c r="F199" i="11" s="1"/>
  <c r="B225" i="12"/>
  <c r="C200" i="11"/>
  <c r="D200" i="11"/>
  <c r="S200" i="11" s="1"/>
  <c r="T200" i="11" s="1"/>
  <c r="B201" i="11"/>
  <c r="E200" i="11"/>
  <c r="K93" i="11" l="1"/>
  <c r="G94" i="11" s="1"/>
  <c r="L93" i="11"/>
  <c r="C118" i="12" s="1"/>
  <c r="U200" i="11"/>
  <c r="V200" i="11" s="1"/>
  <c r="F200" i="11" s="1"/>
  <c r="B226" i="12"/>
  <c r="C201" i="11"/>
  <c r="B202" i="11"/>
  <c r="E201" i="11"/>
  <c r="D201" i="11"/>
  <c r="S201" i="11" s="1"/>
  <c r="T201" i="11" s="1"/>
  <c r="J94" i="11" l="1"/>
  <c r="H94" i="11" s="1"/>
  <c r="I94" i="11" s="1"/>
  <c r="N94" i="11" s="1"/>
  <c r="U201" i="11"/>
  <c r="V201" i="11" s="1"/>
  <c r="F201" i="11" s="1"/>
  <c r="B227" i="12"/>
  <c r="C202" i="11"/>
  <c r="D202" i="11"/>
  <c r="S202" i="11" s="1"/>
  <c r="T202" i="11" s="1"/>
  <c r="B203" i="11"/>
  <c r="E202" i="11"/>
  <c r="K94" i="11" l="1"/>
  <c r="G95" i="11" s="1"/>
  <c r="L94" i="11"/>
  <c r="C119" i="12" s="1"/>
  <c r="U202" i="11"/>
  <c r="V202" i="11" s="1"/>
  <c r="F202" i="11" s="1"/>
  <c r="B228" i="12"/>
  <c r="C203" i="11"/>
  <c r="B204" i="11"/>
  <c r="E203" i="11"/>
  <c r="D203" i="11"/>
  <c r="S203" i="11" s="1"/>
  <c r="T203" i="11" s="1"/>
  <c r="J95" i="11" l="1"/>
  <c r="H95" i="11"/>
  <c r="I95" i="11" s="1"/>
  <c r="N95" i="11" s="1"/>
  <c r="U203" i="11"/>
  <c r="V203" i="11" s="1"/>
  <c r="F203" i="11" s="1"/>
  <c r="B229" i="12"/>
  <c r="C204" i="11"/>
  <c r="D204" i="11"/>
  <c r="S204" i="11" s="1"/>
  <c r="T204" i="11" s="1"/>
  <c r="B205" i="11"/>
  <c r="E204" i="11"/>
  <c r="K95" i="11" l="1"/>
  <c r="G96" i="11" s="1"/>
  <c r="L95" i="11"/>
  <c r="C120" i="12" s="1"/>
  <c r="U204" i="11"/>
  <c r="V204" i="11" s="1"/>
  <c r="F204" i="11" s="1"/>
  <c r="B230" i="12"/>
  <c r="C205" i="11"/>
  <c r="B206" i="11"/>
  <c r="E205" i="11"/>
  <c r="D205" i="11"/>
  <c r="S205" i="11" s="1"/>
  <c r="T205" i="11" s="1"/>
  <c r="J96" i="11" l="1"/>
  <c r="H96" i="11" s="1"/>
  <c r="I96" i="11" s="1"/>
  <c r="N96" i="11" s="1"/>
  <c r="U205" i="11"/>
  <c r="V205" i="11"/>
  <c r="F205" i="11" s="1"/>
  <c r="B231" i="12"/>
  <c r="C206" i="11"/>
  <c r="D206" i="11"/>
  <c r="S206" i="11" s="1"/>
  <c r="T206" i="11" s="1"/>
  <c r="B207" i="11"/>
  <c r="E206" i="11"/>
  <c r="K96" i="11" l="1"/>
  <c r="G97" i="11" s="1"/>
  <c r="L96" i="11"/>
  <c r="C121" i="12" s="1"/>
  <c r="U206" i="11"/>
  <c r="V206" i="11"/>
  <c r="F206" i="11" s="1"/>
  <c r="B232" i="12"/>
  <c r="C207" i="11"/>
  <c r="B208" i="11"/>
  <c r="E207" i="11"/>
  <c r="D207" i="11"/>
  <c r="S207" i="11" s="1"/>
  <c r="T207" i="11" s="1"/>
  <c r="J97" i="11" l="1"/>
  <c r="H97" i="11" s="1"/>
  <c r="I97" i="11" s="1"/>
  <c r="N97" i="11" s="1"/>
  <c r="U207" i="11"/>
  <c r="V207" i="11"/>
  <c r="F207" i="11" s="1"/>
  <c r="B233" i="12"/>
  <c r="C208" i="11"/>
  <c r="D208" i="11"/>
  <c r="S208" i="11" s="1"/>
  <c r="T208" i="11" s="1"/>
  <c r="B209" i="11"/>
  <c r="E208" i="11"/>
  <c r="K97" i="11" l="1"/>
  <c r="G98" i="11" s="1"/>
  <c r="L97" i="11"/>
  <c r="C122" i="12" s="1"/>
  <c r="U208" i="11"/>
  <c r="V208" i="11" s="1"/>
  <c r="F208" i="11" s="1"/>
  <c r="B234" i="12"/>
  <c r="C209" i="11"/>
  <c r="B210" i="11"/>
  <c r="E209" i="11"/>
  <c r="D209" i="11"/>
  <c r="S209" i="11" s="1"/>
  <c r="T209" i="11" s="1"/>
  <c r="J98" i="11" l="1"/>
  <c r="H98" i="11" s="1"/>
  <c r="I98" i="11" s="1"/>
  <c r="U209" i="11"/>
  <c r="V209" i="11" s="1"/>
  <c r="F209" i="11" s="1"/>
  <c r="B235" i="12"/>
  <c r="C210" i="11"/>
  <c r="D210" i="11"/>
  <c r="S210" i="11" s="1"/>
  <c r="T210" i="11" s="1"/>
  <c r="B211" i="11"/>
  <c r="E210" i="11"/>
  <c r="K98" i="11" l="1"/>
  <c r="G99" i="11" s="1"/>
  <c r="N98" i="11"/>
  <c r="L98" i="11"/>
  <c r="C123" i="12" s="1"/>
  <c r="U210" i="11"/>
  <c r="V210" i="11" s="1"/>
  <c r="F210" i="11" s="1"/>
  <c r="B236" i="12"/>
  <c r="C211" i="11"/>
  <c r="B212" i="11"/>
  <c r="E211" i="11"/>
  <c r="D211" i="11"/>
  <c r="S211" i="11" s="1"/>
  <c r="T211" i="11" s="1"/>
  <c r="J99" i="11" l="1"/>
  <c r="H99" i="11" s="1"/>
  <c r="U211" i="11"/>
  <c r="V211" i="11" s="1"/>
  <c r="F211" i="11" s="1"/>
  <c r="B237" i="12"/>
  <c r="C212" i="11"/>
  <c r="D212" i="11"/>
  <c r="S212" i="11" s="1"/>
  <c r="T212" i="11" s="1"/>
  <c r="B213" i="11"/>
  <c r="E212" i="11"/>
  <c r="I99" i="11" l="1"/>
  <c r="U212" i="11"/>
  <c r="V212" i="11" s="1"/>
  <c r="F212" i="11" s="1"/>
  <c r="B238" i="12"/>
  <c r="C213" i="11"/>
  <c r="B214" i="11"/>
  <c r="E213" i="11"/>
  <c r="D213" i="11"/>
  <c r="S213" i="11" s="1"/>
  <c r="T213" i="11" s="1"/>
  <c r="N99" i="11" l="1"/>
  <c r="K99" i="11"/>
  <c r="G100" i="11" s="1"/>
  <c r="L99" i="11"/>
  <c r="C124" i="12" s="1"/>
  <c r="U213" i="11"/>
  <c r="V213" i="11" s="1"/>
  <c r="F213" i="11" s="1"/>
  <c r="B239" i="12"/>
  <c r="C214" i="11"/>
  <c r="D214" i="11"/>
  <c r="S214" i="11" s="1"/>
  <c r="T214" i="11" s="1"/>
  <c r="B215" i="11"/>
  <c r="E214" i="11"/>
  <c r="J100" i="11" l="1"/>
  <c r="H100" i="11" s="1"/>
  <c r="I100" i="11" s="1"/>
  <c r="N100" i="11" s="1"/>
  <c r="U214" i="11"/>
  <c r="V214" i="11" s="1"/>
  <c r="F214" i="11" s="1"/>
  <c r="B240" i="12"/>
  <c r="C215" i="11"/>
  <c r="B216" i="11"/>
  <c r="E215" i="11"/>
  <c r="D215" i="11"/>
  <c r="S215" i="11" s="1"/>
  <c r="T215" i="11" s="1"/>
  <c r="K100" i="11" l="1"/>
  <c r="G101" i="11" s="1"/>
  <c r="L100" i="11"/>
  <c r="C125" i="12" s="1"/>
  <c r="U215" i="11"/>
  <c r="V215" i="11" s="1"/>
  <c r="F215" i="11" s="1"/>
  <c r="B241" i="12"/>
  <c r="C216" i="11"/>
  <c r="D216" i="11"/>
  <c r="S216" i="11" s="1"/>
  <c r="T216" i="11" s="1"/>
  <c r="B217" i="11"/>
  <c r="E216" i="11"/>
  <c r="J101" i="11" l="1"/>
  <c r="H101" i="11" s="1"/>
  <c r="L13" i="9" s="1"/>
  <c r="U216" i="11"/>
  <c r="V216" i="11"/>
  <c r="F216" i="11" s="1"/>
  <c r="B242" i="12"/>
  <c r="C217" i="11"/>
  <c r="B218" i="11"/>
  <c r="E217" i="11"/>
  <c r="D217" i="11"/>
  <c r="S217" i="11" s="1"/>
  <c r="T217" i="11" s="1"/>
  <c r="I101" i="11" l="1"/>
  <c r="L19" i="9"/>
  <c r="L55" i="9"/>
  <c r="L18" i="9"/>
  <c r="L57" i="9"/>
  <c r="L14" i="9"/>
  <c r="L58" i="9"/>
  <c r="L54" i="9"/>
  <c r="L34" i="9"/>
  <c r="L56" i="9"/>
  <c r="L101" i="11"/>
  <c r="C126" i="12" s="1"/>
  <c r="U217" i="11"/>
  <c r="V217" i="11" s="1"/>
  <c r="F217" i="11" s="1"/>
  <c r="B243" i="12"/>
  <c r="C218" i="11"/>
  <c r="D218" i="11"/>
  <c r="S218" i="11" s="1"/>
  <c r="T218" i="11" s="1"/>
  <c r="B219" i="11"/>
  <c r="E218" i="11"/>
  <c r="N101" i="11" l="1"/>
  <c r="K101" i="11"/>
  <c r="G102" i="11" s="1"/>
  <c r="L69" i="9"/>
  <c r="L66" i="9"/>
  <c r="L70" i="9"/>
  <c r="L35" i="9"/>
  <c r="L68" i="9"/>
  <c r="L67" i="9"/>
  <c r="U218" i="11"/>
  <c r="V218" i="11" s="1"/>
  <c r="F218" i="11" s="1"/>
  <c r="B244" i="12"/>
  <c r="C219" i="11"/>
  <c r="B220" i="11"/>
  <c r="E219" i="11"/>
  <c r="D219" i="11"/>
  <c r="S219" i="11" s="1"/>
  <c r="T219" i="11" s="1"/>
  <c r="J102" i="11" l="1"/>
  <c r="H102" i="11" s="1"/>
  <c r="I102" i="11" s="1"/>
  <c r="U219" i="11"/>
  <c r="V219" i="11" s="1"/>
  <c r="F219" i="11" s="1"/>
  <c r="B245" i="12"/>
  <c r="C220" i="11"/>
  <c r="D220" i="11"/>
  <c r="S220" i="11" s="1"/>
  <c r="T220" i="11" s="1"/>
  <c r="B221" i="11"/>
  <c r="E220" i="11"/>
  <c r="N102" i="11" l="1"/>
  <c r="K102" i="11"/>
  <c r="G103" i="11" s="1"/>
  <c r="L102" i="11"/>
  <c r="C127" i="12" s="1"/>
  <c r="U220" i="11"/>
  <c r="V220" i="11"/>
  <c r="F220" i="11" s="1"/>
  <c r="B246" i="12"/>
  <c r="C221" i="11"/>
  <c r="B222" i="11"/>
  <c r="E221" i="11"/>
  <c r="D221" i="11"/>
  <c r="S221" i="11" s="1"/>
  <c r="T221" i="11" s="1"/>
  <c r="J103" i="11" l="1"/>
  <c r="H103" i="11" s="1"/>
  <c r="I103" i="11" s="1"/>
  <c r="N103" i="11" s="1"/>
  <c r="U221" i="11"/>
  <c r="V221" i="11" s="1"/>
  <c r="F221" i="11" s="1"/>
  <c r="B247" i="12"/>
  <c r="C222" i="11"/>
  <c r="D222" i="11"/>
  <c r="S222" i="11" s="1"/>
  <c r="T222" i="11" s="1"/>
  <c r="B223" i="11"/>
  <c r="E222" i="11"/>
  <c r="K103" i="11" l="1"/>
  <c r="G104" i="11" s="1"/>
  <c r="L103" i="11"/>
  <c r="C128" i="12" s="1"/>
  <c r="J104" i="11"/>
  <c r="H104" i="11" s="1"/>
  <c r="I104" i="11" s="1"/>
  <c r="N104" i="11" s="1"/>
  <c r="U222" i="11"/>
  <c r="V222" i="11" s="1"/>
  <c r="F222" i="11" s="1"/>
  <c r="B248" i="12"/>
  <c r="C223" i="11"/>
  <c r="B224" i="11"/>
  <c r="E223" i="11"/>
  <c r="D223" i="11"/>
  <c r="S223" i="11" s="1"/>
  <c r="T223" i="11" s="1"/>
  <c r="K104" i="11" l="1"/>
  <c r="G105" i="11" s="1"/>
  <c r="L104" i="11"/>
  <c r="C129" i="12" s="1"/>
  <c r="U223" i="11"/>
  <c r="V223" i="11" s="1"/>
  <c r="F223" i="11" s="1"/>
  <c r="B249" i="12"/>
  <c r="C224" i="11"/>
  <c r="D224" i="11"/>
  <c r="S224" i="11" s="1"/>
  <c r="T224" i="11" s="1"/>
  <c r="B225" i="11"/>
  <c r="E224" i="11"/>
  <c r="J105" i="11" l="1"/>
  <c r="H105" i="11" s="1"/>
  <c r="I105" i="11" s="1"/>
  <c r="N105" i="11" s="1"/>
  <c r="U224" i="11"/>
  <c r="V224" i="11"/>
  <c r="F224" i="11" s="1"/>
  <c r="B250" i="12"/>
  <c r="C225" i="11"/>
  <c r="B226" i="11"/>
  <c r="E225" i="11"/>
  <c r="D225" i="11"/>
  <c r="S225" i="11" s="1"/>
  <c r="T225" i="11" s="1"/>
  <c r="K105" i="11" l="1"/>
  <c r="G106" i="11" s="1"/>
  <c r="L105" i="11"/>
  <c r="C130" i="12" s="1"/>
  <c r="U225" i="11"/>
  <c r="V225" i="11" s="1"/>
  <c r="F225" i="11" s="1"/>
  <c r="B251" i="12"/>
  <c r="C226" i="11"/>
  <c r="D226" i="11"/>
  <c r="S226" i="11" s="1"/>
  <c r="T226" i="11" s="1"/>
  <c r="B227" i="11"/>
  <c r="E226" i="11"/>
  <c r="J106" i="11" l="1"/>
  <c r="H106" i="11" s="1"/>
  <c r="I106" i="11" s="1"/>
  <c r="N106" i="11" s="1"/>
  <c r="U226" i="11"/>
  <c r="V226" i="11" s="1"/>
  <c r="F226" i="11" s="1"/>
  <c r="B252" i="12"/>
  <c r="C227" i="11"/>
  <c r="B228" i="11"/>
  <c r="E227" i="11"/>
  <c r="D227" i="11"/>
  <c r="S227" i="11" s="1"/>
  <c r="T227" i="11" s="1"/>
  <c r="K106" i="11" l="1"/>
  <c r="G107" i="11" s="1"/>
  <c r="L106" i="11"/>
  <c r="C131" i="12" s="1"/>
  <c r="U227" i="11"/>
  <c r="V227" i="11"/>
  <c r="F227" i="11" s="1"/>
  <c r="B253" i="12"/>
  <c r="C228" i="11"/>
  <c r="D228" i="11"/>
  <c r="S228" i="11" s="1"/>
  <c r="T228" i="11" s="1"/>
  <c r="B229" i="11"/>
  <c r="E228" i="11"/>
  <c r="J107" i="11" l="1"/>
  <c r="H107" i="11" s="1"/>
  <c r="I107" i="11" s="1"/>
  <c r="N107" i="11" s="1"/>
  <c r="U228" i="11"/>
  <c r="V228" i="11" s="1"/>
  <c r="F228" i="11" s="1"/>
  <c r="B254" i="12"/>
  <c r="C229" i="11"/>
  <c r="B230" i="11"/>
  <c r="E229" i="11"/>
  <c r="D229" i="11"/>
  <c r="S229" i="11" s="1"/>
  <c r="T229" i="11" s="1"/>
  <c r="K107" i="11" l="1"/>
  <c r="G108" i="11" s="1"/>
  <c r="L107" i="11"/>
  <c r="C132" i="12" s="1"/>
  <c r="U229" i="11"/>
  <c r="V229" i="11" s="1"/>
  <c r="F229" i="11" s="1"/>
  <c r="B255" i="12"/>
  <c r="C230" i="11"/>
  <c r="D230" i="11"/>
  <c r="S230" i="11" s="1"/>
  <c r="T230" i="11" s="1"/>
  <c r="B231" i="11"/>
  <c r="E230" i="11"/>
  <c r="J108" i="11" l="1"/>
  <c r="H108" i="11" s="1"/>
  <c r="I108" i="11" s="1"/>
  <c r="N108" i="11" s="1"/>
  <c r="U230" i="11"/>
  <c r="V230" i="11" s="1"/>
  <c r="F230" i="11" s="1"/>
  <c r="B256" i="12"/>
  <c r="C231" i="11"/>
  <c r="B232" i="11"/>
  <c r="E231" i="11"/>
  <c r="D231" i="11"/>
  <c r="S231" i="11" s="1"/>
  <c r="T231" i="11" s="1"/>
  <c r="K108" i="11" l="1"/>
  <c r="G109" i="11" s="1"/>
  <c r="L108" i="11"/>
  <c r="C133" i="12" s="1"/>
  <c r="U231" i="11"/>
  <c r="V231" i="11"/>
  <c r="F231" i="11" s="1"/>
  <c r="B257" i="12"/>
  <c r="C232" i="11"/>
  <c r="D232" i="11"/>
  <c r="S232" i="11" s="1"/>
  <c r="T232" i="11" s="1"/>
  <c r="B233" i="11"/>
  <c r="E232" i="11"/>
  <c r="J109" i="11" l="1"/>
  <c r="H109" i="11"/>
  <c r="I109" i="11" s="1"/>
  <c r="N109" i="11" s="1"/>
  <c r="U232" i="11"/>
  <c r="V232" i="11" s="1"/>
  <c r="F232" i="11" s="1"/>
  <c r="B258" i="12"/>
  <c r="C233" i="11"/>
  <c r="B234" i="11"/>
  <c r="E233" i="11"/>
  <c r="D233" i="11"/>
  <c r="S233" i="11" s="1"/>
  <c r="T233" i="11" s="1"/>
  <c r="K109" i="11" l="1"/>
  <c r="G110" i="11" s="1"/>
  <c r="L109" i="11"/>
  <c r="C134" i="12" s="1"/>
  <c r="U233" i="11"/>
  <c r="V233" i="11" s="1"/>
  <c r="F233" i="11" s="1"/>
  <c r="B259" i="12"/>
  <c r="C234" i="11"/>
  <c r="D234" i="11"/>
  <c r="S234" i="11" s="1"/>
  <c r="T234" i="11" s="1"/>
  <c r="B235" i="11"/>
  <c r="E234" i="11"/>
  <c r="J110" i="11" l="1"/>
  <c r="H110" i="11" s="1"/>
  <c r="I110" i="11" s="1"/>
  <c r="N110" i="11" s="1"/>
  <c r="U234" i="11"/>
  <c r="V234" i="11" s="1"/>
  <c r="F234" i="11" s="1"/>
  <c r="B260" i="12"/>
  <c r="C235" i="11"/>
  <c r="B236" i="11"/>
  <c r="E235" i="11"/>
  <c r="D235" i="11"/>
  <c r="S235" i="11" s="1"/>
  <c r="T235" i="11" s="1"/>
  <c r="K110" i="11" l="1"/>
  <c r="G111" i="11" s="1"/>
  <c r="L110" i="11"/>
  <c r="C135" i="12" s="1"/>
  <c r="U235" i="11"/>
  <c r="V235" i="11" s="1"/>
  <c r="F235" i="11" s="1"/>
  <c r="B261" i="12"/>
  <c r="D236" i="11"/>
  <c r="S236" i="11" s="1"/>
  <c r="T236" i="11" s="1"/>
  <c r="C236" i="11"/>
  <c r="B237" i="11"/>
  <c r="E236" i="11"/>
  <c r="J111" i="11" l="1"/>
  <c r="H111" i="11" s="1"/>
  <c r="I111" i="11" s="1"/>
  <c r="U236" i="11"/>
  <c r="V236" i="11" s="1"/>
  <c r="F236" i="11" s="1"/>
  <c r="B262" i="12"/>
  <c r="C237" i="11"/>
  <c r="B238" i="11"/>
  <c r="E237" i="11"/>
  <c r="D237" i="11"/>
  <c r="S237" i="11" s="1"/>
  <c r="T237" i="11" s="1"/>
  <c r="K111" i="11" l="1"/>
  <c r="G112" i="11" s="1"/>
  <c r="N111" i="11"/>
  <c r="L111" i="11"/>
  <c r="C136" i="12" s="1"/>
  <c r="U237" i="11"/>
  <c r="V237" i="11" s="1"/>
  <c r="F237" i="11" s="1"/>
  <c r="B263" i="12"/>
  <c r="D238" i="11"/>
  <c r="S238" i="11" s="1"/>
  <c r="T238" i="11" s="1"/>
  <c r="C238" i="11"/>
  <c r="B239" i="11"/>
  <c r="E238" i="11"/>
  <c r="J112" i="11" l="1"/>
  <c r="H112" i="11" s="1"/>
  <c r="U238" i="11"/>
  <c r="V238" i="11"/>
  <c r="F238" i="11" s="1"/>
  <c r="B264" i="12"/>
  <c r="C239" i="11"/>
  <c r="B240" i="11"/>
  <c r="E239" i="11"/>
  <c r="D239" i="11"/>
  <c r="S239" i="11" s="1"/>
  <c r="T239" i="11" s="1"/>
  <c r="I112" i="11" l="1"/>
  <c r="U239" i="11"/>
  <c r="V239" i="11"/>
  <c r="F239" i="11" s="1"/>
  <c r="B265" i="12"/>
  <c r="C240" i="11"/>
  <c r="D240" i="11"/>
  <c r="S240" i="11" s="1"/>
  <c r="T240" i="11" s="1"/>
  <c r="B241" i="11"/>
  <c r="E240" i="11"/>
  <c r="N112" i="11" l="1"/>
  <c r="K112" i="11"/>
  <c r="G113" i="11" s="1"/>
  <c r="L112" i="11"/>
  <c r="C137" i="12" s="1"/>
  <c r="U240" i="11"/>
  <c r="V240" i="11" s="1"/>
  <c r="F240" i="11" s="1"/>
  <c r="B266" i="12"/>
  <c r="C241" i="11"/>
  <c r="B242" i="11"/>
  <c r="E241" i="11"/>
  <c r="D241" i="11"/>
  <c r="S241" i="11" s="1"/>
  <c r="T241" i="11" s="1"/>
  <c r="J113" i="11" l="1"/>
  <c r="H113" i="11" s="1"/>
  <c r="M13" i="9" s="1"/>
  <c r="U241" i="11"/>
  <c r="V241" i="11"/>
  <c r="F241" i="11" s="1"/>
  <c r="B267" i="12"/>
  <c r="D242" i="11"/>
  <c r="S242" i="11" s="1"/>
  <c r="T242" i="11" s="1"/>
  <c r="C242" i="11"/>
  <c r="B243" i="11"/>
  <c r="E242" i="11"/>
  <c r="M18" i="9" l="1"/>
  <c r="M56" i="9"/>
  <c r="M55" i="9"/>
  <c r="M54" i="9"/>
  <c r="M57" i="9"/>
  <c r="M19" i="9"/>
  <c r="M58" i="9"/>
  <c r="M34" i="9"/>
  <c r="M14" i="9"/>
  <c r="I113" i="11"/>
  <c r="U242" i="11"/>
  <c r="V242" i="11" s="1"/>
  <c r="F242" i="11" s="1"/>
  <c r="B268" i="12"/>
  <c r="C243" i="11"/>
  <c r="B244" i="11"/>
  <c r="E243" i="11"/>
  <c r="D243" i="11"/>
  <c r="S243" i="11" s="1"/>
  <c r="T243" i="11" s="1"/>
  <c r="L113" i="11" l="1"/>
  <c r="C138" i="12" s="1"/>
  <c r="N113" i="11"/>
  <c r="K113" i="11"/>
  <c r="G114" i="11" s="1"/>
  <c r="M66" i="9"/>
  <c r="M67" i="9"/>
  <c r="M68" i="9"/>
  <c r="M70" i="9"/>
  <c r="M69" i="9"/>
  <c r="M35" i="9"/>
  <c r="U243" i="11"/>
  <c r="V243" i="11" s="1"/>
  <c r="F243" i="11" s="1"/>
  <c r="B269" i="12"/>
  <c r="C244" i="11"/>
  <c r="D244" i="11"/>
  <c r="S244" i="11" s="1"/>
  <c r="T244" i="11" s="1"/>
  <c r="B245" i="11"/>
  <c r="E244" i="11"/>
  <c r="J114" i="11" l="1"/>
  <c r="H114" i="11" s="1"/>
  <c r="U244" i="11"/>
  <c r="V244" i="11" s="1"/>
  <c r="F244" i="11" s="1"/>
  <c r="B270" i="12"/>
  <c r="C245" i="11"/>
  <c r="B246" i="11"/>
  <c r="E245" i="11"/>
  <c r="D245" i="11"/>
  <c r="S245" i="11" s="1"/>
  <c r="T245" i="11" s="1"/>
  <c r="I114" i="11" l="1"/>
  <c r="L114" i="11" s="1"/>
  <c r="C139" i="12" s="1"/>
  <c r="U245" i="11"/>
  <c r="V245" i="11" s="1"/>
  <c r="F245" i="11" s="1"/>
  <c r="B271" i="12"/>
  <c r="D246" i="11"/>
  <c r="S246" i="11" s="1"/>
  <c r="T246" i="11" s="1"/>
  <c r="C246" i="11"/>
  <c r="B247" i="11"/>
  <c r="E246" i="11"/>
  <c r="N114" i="11" l="1"/>
  <c r="K114" i="11"/>
  <c r="G115" i="11" s="1"/>
  <c r="U246" i="11"/>
  <c r="V246" i="11" s="1"/>
  <c r="F246" i="11" s="1"/>
  <c r="B272" i="12"/>
  <c r="C247" i="11"/>
  <c r="B248" i="11"/>
  <c r="E247" i="11"/>
  <c r="D247" i="11"/>
  <c r="S247" i="11" s="1"/>
  <c r="T247" i="11" s="1"/>
  <c r="J115" i="11" l="1"/>
  <c r="H115" i="11" s="1"/>
  <c r="U247" i="11"/>
  <c r="V247" i="11" s="1"/>
  <c r="F247" i="11" s="1"/>
  <c r="B273" i="12"/>
  <c r="C248" i="11"/>
  <c r="D248" i="11"/>
  <c r="S248" i="11" s="1"/>
  <c r="T248" i="11" s="1"/>
  <c r="B249" i="11"/>
  <c r="E248" i="11"/>
  <c r="I115" i="11" l="1"/>
  <c r="N115" i="11" s="1"/>
  <c r="U248" i="11"/>
  <c r="V248" i="11" s="1"/>
  <c r="F248" i="11" s="1"/>
  <c r="B274" i="12"/>
  <c r="C249" i="11"/>
  <c r="B250" i="11"/>
  <c r="E249" i="11"/>
  <c r="D249" i="11"/>
  <c r="S249" i="11" s="1"/>
  <c r="T249" i="11" s="1"/>
  <c r="L115" i="11" l="1"/>
  <c r="C140" i="12" s="1"/>
  <c r="K115" i="11"/>
  <c r="G116" i="11" s="1"/>
  <c r="J116" i="11" s="1"/>
  <c r="H116" i="11" s="1"/>
  <c r="I116" i="11" s="1"/>
  <c r="N116" i="11" s="1"/>
  <c r="U249" i="11"/>
  <c r="V249" i="11"/>
  <c r="F249" i="11" s="1"/>
  <c r="B275" i="12"/>
  <c r="D250" i="11"/>
  <c r="S250" i="11" s="1"/>
  <c r="T250" i="11" s="1"/>
  <c r="C250" i="11"/>
  <c r="B251" i="11"/>
  <c r="E250" i="11"/>
  <c r="K116" i="11" l="1"/>
  <c r="G117" i="11" s="1"/>
  <c r="L116" i="11"/>
  <c r="C141" i="12" s="1"/>
  <c r="U250" i="11"/>
  <c r="V250" i="11" s="1"/>
  <c r="F250" i="11" s="1"/>
  <c r="B276" i="12"/>
  <c r="C251" i="11"/>
  <c r="B252" i="11"/>
  <c r="E251" i="11"/>
  <c r="D251" i="11"/>
  <c r="S251" i="11" s="1"/>
  <c r="T251" i="11" s="1"/>
  <c r="J117" i="11" l="1"/>
  <c r="H117" i="11" s="1"/>
  <c r="U251" i="11"/>
  <c r="V251" i="11" s="1"/>
  <c r="F251" i="11" s="1"/>
  <c r="B277" i="12"/>
  <c r="D252" i="11"/>
  <c r="S252" i="11" s="1"/>
  <c r="T252" i="11" s="1"/>
  <c r="C252" i="11"/>
  <c r="B253" i="11"/>
  <c r="E252" i="11"/>
  <c r="I117" i="11" l="1"/>
  <c r="N117" i="11" s="1"/>
  <c r="U252" i="11"/>
  <c r="V252" i="11"/>
  <c r="F252" i="11" s="1"/>
  <c r="B278" i="12"/>
  <c r="C253" i="11"/>
  <c r="B254" i="11"/>
  <c r="E253" i="11"/>
  <c r="D253" i="11"/>
  <c r="S253" i="11" s="1"/>
  <c r="T253" i="11" s="1"/>
  <c r="L117" i="11" l="1"/>
  <c r="C142" i="12" s="1"/>
  <c r="K117" i="11"/>
  <c r="G118" i="11" s="1"/>
  <c r="J118" i="11" s="1"/>
  <c r="H118" i="11" s="1"/>
  <c r="I118" i="11" s="1"/>
  <c r="N118" i="11" s="1"/>
  <c r="U253" i="11"/>
  <c r="V253" i="11" s="1"/>
  <c r="F253" i="11" s="1"/>
  <c r="B279" i="12"/>
  <c r="D254" i="11"/>
  <c r="S254" i="11" s="1"/>
  <c r="T254" i="11" s="1"/>
  <c r="C254" i="11"/>
  <c r="B255" i="11"/>
  <c r="E254" i="11"/>
  <c r="K118" i="11" l="1"/>
  <c r="G119" i="11" s="1"/>
  <c r="L118" i="11"/>
  <c r="C143" i="12" s="1"/>
  <c r="U254" i="11"/>
  <c r="V254" i="11"/>
  <c r="F254" i="11" s="1"/>
  <c r="B280" i="12"/>
  <c r="C255" i="11"/>
  <c r="B256" i="11"/>
  <c r="E255" i="11"/>
  <c r="D255" i="11"/>
  <c r="S255" i="11" s="1"/>
  <c r="T255" i="11" s="1"/>
  <c r="J119" i="11" l="1"/>
  <c r="H119" i="11"/>
  <c r="I119" i="11" s="1"/>
  <c r="N119" i="11" s="1"/>
  <c r="U255" i="11"/>
  <c r="V255" i="11" s="1"/>
  <c r="F255" i="11" s="1"/>
  <c r="B281" i="12"/>
  <c r="C256" i="11"/>
  <c r="D256" i="11"/>
  <c r="S256" i="11" s="1"/>
  <c r="T256" i="11" s="1"/>
  <c r="B257" i="11"/>
  <c r="E256" i="11"/>
  <c r="K119" i="11" l="1"/>
  <c r="G120" i="11" s="1"/>
  <c r="L119" i="11"/>
  <c r="C144" i="12" s="1"/>
  <c r="U256" i="11"/>
  <c r="V256" i="11" s="1"/>
  <c r="F256" i="11" s="1"/>
  <c r="B282" i="12"/>
  <c r="C257" i="11"/>
  <c r="B258" i="11"/>
  <c r="E257" i="11"/>
  <c r="D257" i="11"/>
  <c r="S257" i="11" s="1"/>
  <c r="T257" i="11" s="1"/>
  <c r="J120" i="11" l="1"/>
  <c r="H120" i="11" s="1"/>
  <c r="I120" i="11" s="1"/>
  <c r="N120" i="11" s="1"/>
  <c r="U257" i="11"/>
  <c r="V257" i="11" s="1"/>
  <c r="F257" i="11" s="1"/>
  <c r="B283" i="12"/>
  <c r="C258" i="11"/>
  <c r="D258" i="11"/>
  <c r="S258" i="11" s="1"/>
  <c r="T258" i="11" s="1"/>
  <c r="B259" i="11"/>
  <c r="E258" i="11"/>
  <c r="K120" i="11" l="1"/>
  <c r="G121" i="11" s="1"/>
  <c r="L120" i="11"/>
  <c r="C145" i="12" s="1"/>
  <c r="U258" i="11"/>
  <c r="V258" i="11"/>
  <c r="F258" i="11" s="1"/>
  <c r="B284" i="12"/>
  <c r="C259" i="11"/>
  <c r="B260" i="11"/>
  <c r="E259" i="11"/>
  <c r="D259" i="11"/>
  <c r="S259" i="11" s="1"/>
  <c r="T259" i="11" s="1"/>
  <c r="J121" i="11" l="1"/>
  <c r="H121" i="11" s="1"/>
  <c r="U259" i="11"/>
  <c r="V259" i="11"/>
  <c r="F259" i="11" s="1"/>
  <c r="B285" i="12"/>
  <c r="C260" i="11"/>
  <c r="D260" i="11"/>
  <c r="S260" i="11" s="1"/>
  <c r="T260" i="11" s="1"/>
  <c r="B261" i="11"/>
  <c r="E260" i="11"/>
  <c r="I121" i="11" l="1"/>
  <c r="U260" i="11"/>
  <c r="V260" i="11"/>
  <c r="F260" i="11" s="1"/>
  <c r="B286" i="12"/>
  <c r="C261" i="11"/>
  <c r="B262" i="11"/>
  <c r="E261" i="11"/>
  <c r="D261" i="11"/>
  <c r="S261" i="11" s="1"/>
  <c r="T261" i="11" s="1"/>
  <c r="N121" i="11" l="1"/>
  <c r="K121" i="11"/>
  <c r="G122" i="11" s="1"/>
  <c r="L121" i="11"/>
  <c r="C146" i="12" s="1"/>
  <c r="U261" i="11"/>
  <c r="V261" i="11" s="1"/>
  <c r="F261" i="11" s="1"/>
  <c r="B287" i="12"/>
  <c r="C262" i="11"/>
  <c r="D262" i="11"/>
  <c r="S262" i="11" s="1"/>
  <c r="T262" i="11" s="1"/>
  <c r="B263" i="11"/>
  <c r="E262" i="11"/>
  <c r="J122" i="11" l="1"/>
  <c r="H122" i="11" s="1"/>
  <c r="I122" i="11" s="1"/>
  <c r="N122" i="11" s="1"/>
  <c r="U262" i="11"/>
  <c r="V262" i="11" s="1"/>
  <c r="F262" i="11" s="1"/>
  <c r="B288" i="12"/>
  <c r="C263" i="11"/>
  <c r="B264" i="11"/>
  <c r="E263" i="11"/>
  <c r="D263" i="11"/>
  <c r="S263" i="11" s="1"/>
  <c r="T263" i="11" s="1"/>
  <c r="K122" i="11" l="1"/>
  <c r="G123" i="11" s="1"/>
  <c r="L122" i="11"/>
  <c r="C147" i="12" s="1"/>
  <c r="U263" i="11"/>
  <c r="V263" i="11" s="1"/>
  <c r="F263" i="11" s="1"/>
  <c r="B289" i="12"/>
  <c r="C264" i="11"/>
  <c r="D264" i="11"/>
  <c r="S264" i="11" s="1"/>
  <c r="T264" i="11" s="1"/>
  <c r="B265" i="11"/>
  <c r="E264" i="11"/>
  <c r="J123" i="11" l="1"/>
  <c r="H123" i="11" s="1"/>
  <c r="U264" i="11"/>
  <c r="V264" i="11" s="1"/>
  <c r="F264" i="11" s="1"/>
  <c r="B290" i="12"/>
  <c r="C265" i="11"/>
  <c r="B266" i="11"/>
  <c r="E265" i="11"/>
  <c r="D265" i="11"/>
  <c r="S265" i="11" s="1"/>
  <c r="T265" i="11" s="1"/>
  <c r="I123" i="11" l="1"/>
  <c r="N123" i="11" s="1"/>
  <c r="U265" i="11"/>
  <c r="V265" i="11" s="1"/>
  <c r="F265" i="11" s="1"/>
  <c r="B291" i="12"/>
  <c r="C266" i="11"/>
  <c r="D266" i="11"/>
  <c r="S266" i="11" s="1"/>
  <c r="T266" i="11" s="1"/>
  <c r="B267" i="11"/>
  <c r="E266" i="11"/>
  <c r="L123" i="11" l="1"/>
  <c r="C148" i="12" s="1"/>
  <c r="K123" i="11"/>
  <c r="G124" i="11" s="1"/>
  <c r="J124" i="11" s="1"/>
  <c r="H124" i="11" s="1"/>
  <c r="U266" i="11"/>
  <c r="V266" i="11" s="1"/>
  <c r="F266" i="11" s="1"/>
  <c r="B292" i="12"/>
  <c r="C267" i="11"/>
  <c r="B268" i="11"/>
  <c r="E267" i="11"/>
  <c r="D267" i="11"/>
  <c r="S267" i="11" s="1"/>
  <c r="T267" i="11" s="1"/>
  <c r="I124" i="11" l="1"/>
  <c r="L124" i="11" s="1"/>
  <c r="C149" i="12" s="1"/>
  <c r="U267" i="11"/>
  <c r="V267" i="11" s="1"/>
  <c r="F267" i="11" s="1"/>
  <c r="B293" i="12"/>
  <c r="C268" i="11"/>
  <c r="D268" i="11"/>
  <c r="S268" i="11" s="1"/>
  <c r="T268" i="11" s="1"/>
  <c r="B269" i="11"/>
  <c r="E268" i="11"/>
  <c r="N124" i="11" l="1"/>
  <c r="K124" i="11"/>
  <c r="G125" i="11" s="1"/>
  <c r="U268" i="11"/>
  <c r="V268" i="11" s="1"/>
  <c r="F268" i="11" s="1"/>
  <c r="B294" i="12"/>
  <c r="C269" i="11"/>
  <c r="B270" i="11"/>
  <c r="E269" i="11"/>
  <c r="D269" i="11"/>
  <c r="S269" i="11" s="1"/>
  <c r="T269" i="11" s="1"/>
  <c r="J125" i="11" l="1"/>
  <c r="H125" i="11" s="1"/>
  <c r="U269" i="11"/>
  <c r="V269" i="11"/>
  <c r="F269" i="11" s="1"/>
  <c r="B295" i="12"/>
  <c r="C270" i="11"/>
  <c r="D270" i="11"/>
  <c r="S270" i="11" s="1"/>
  <c r="T270" i="11" s="1"/>
  <c r="B271" i="11"/>
  <c r="E270" i="11"/>
  <c r="I125" i="11" l="1"/>
  <c r="N125" i="11" s="1"/>
  <c r="N13" i="9"/>
  <c r="N14" i="9" s="1"/>
  <c r="L125" i="11"/>
  <c r="C150" i="12" s="1"/>
  <c r="U270" i="11"/>
  <c r="V270" i="11" s="1"/>
  <c r="F270" i="11" s="1"/>
  <c r="B296" i="12"/>
  <c r="C271" i="11"/>
  <c r="B272" i="11"/>
  <c r="E271" i="11"/>
  <c r="D271" i="11"/>
  <c r="S271" i="11" s="1"/>
  <c r="T271" i="11" s="1"/>
  <c r="K125" i="11" l="1"/>
  <c r="G126" i="11" s="1"/>
  <c r="N55" i="9"/>
  <c r="N58" i="9"/>
  <c r="N19" i="9"/>
  <c r="N56" i="9"/>
  <c r="N34" i="9"/>
  <c r="N66" i="9" s="1"/>
  <c r="N18" i="9"/>
  <c r="N54" i="9"/>
  <c r="N57" i="9"/>
  <c r="J126" i="11"/>
  <c r="H126" i="11" s="1"/>
  <c r="N68" i="9"/>
  <c r="N67" i="9"/>
  <c r="N69" i="9"/>
  <c r="U271" i="11"/>
  <c r="V271" i="11" s="1"/>
  <c r="F271" i="11" s="1"/>
  <c r="B297" i="12"/>
  <c r="C272" i="11"/>
  <c r="D272" i="11"/>
  <c r="S272" i="11" s="1"/>
  <c r="T272" i="11" s="1"/>
  <c r="B273" i="11"/>
  <c r="E272" i="11"/>
  <c r="N35" i="9" l="1"/>
  <c r="N70" i="9"/>
  <c r="I126" i="11"/>
  <c r="U272" i="11"/>
  <c r="V272" i="11" s="1"/>
  <c r="F272" i="11" s="1"/>
  <c r="B298" i="12"/>
  <c r="C273" i="11"/>
  <c r="B274" i="11"/>
  <c r="E273" i="11"/>
  <c r="D273" i="11"/>
  <c r="S273" i="11" s="1"/>
  <c r="T273" i="11" s="1"/>
  <c r="N126" i="11" l="1"/>
  <c r="K126" i="11"/>
  <c r="G127" i="11" s="1"/>
  <c r="L126" i="11"/>
  <c r="C151" i="12" s="1"/>
  <c r="U273" i="11"/>
  <c r="V273" i="11" s="1"/>
  <c r="F273" i="11" s="1"/>
  <c r="B299" i="12"/>
  <c r="C274" i="11"/>
  <c r="D274" i="11"/>
  <c r="S274" i="11" s="1"/>
  <c r="T274" i="11" s="1"/>
  <c r="B275" i="11"/>
  <c r="E274" i="11"/>
  <c r="J127" i="11" l="1"/>
  <c r="H127" i="11" s="1"/>
  <c r="U274" i="11"/>
  <c r="V274" i="11"/>
  <c r="F274" i="11" s="1"/>
  <c r="B300" i="12"/>
  <c r="C275" i="11"/>
  <c r="B276" i="11"/>
  <c r="E275" i="11"/>
  <c r="D275" i="11"/>
  <c r="S275" i="11" s="1"/>
  <c r="T275" i="11" s="1"/>
  <c r="I127" i="11" l="1"/>
  <c r="L127" i="11" s="1"/>
  <c r="C152" i="12" s="1"/>
  <c r="U275" i="11"/>
  <c r="V275" i="11" s="1"/>
  <c r="F275" i="11" s="1"/>
  <c r="B301" i="12"/>
  <c r="D276" i="11"/>
  <c r="S276" i="11" s="1"/>
  <c r="T276" i="11" s="1"/>
  <c r="C276" i="11"/>
  <c r="B277" i="11"/>
  <c r="E276" i="11"/>
  <c r="N127" i="11" l="1"/>
  <c r="K127" i="11"/>
  <c r="G128" i="11" s="1"/>
  <c r="U276" i="11"/>
  <c r="V276" i="11" s="1"/>
  <c r="F276" i="11" s="1"/>
  <c r="B302" i="12"/>
  <c r="C277" i="11"/>
  <c r="B278" i="11"/>
  <c r="E277" i="11"/>
  <c r="D277" i="11"/>
  <c r="S277" i="11" s="1"/>
  <c r="T277" i="11" s="1"/>
  <c r="J128" i="11" l="1"/>
  <c r="H128" i="11" s="1"/>
  <c r="U277" i="11"/>
  <c r="V277" i="11" s="1"/>
  <c r="F277" i="11" s="1"/>
  <c r="B303" i="12"/>
  <c r="C278" i="11"/>
  <c r="D278" i="11"/>
  <c r="S278" i="11" s="1"/>
  <c r="T278" i="11" s="1"/>
  <c r="B279" i="11"/>
  <c r="E278" i="11"/>
  <c r="I128" i="11" l="1"/>
  <c r="L128" i="11" s="1"/>
  <c r="C153" i="12" s="1"/>
  <c r="U278" i="11"/>
  <c r="V278" i="11" s="1"/>
  <c r="F278" i="11" s="1"/>
  <c r="B304" i="12"/>
  <c r="C279" i="11"/>
  <c r="B280" i="11"/>
  <c r="E279" i="11"/>
  <c r="D279" i="11"/>
  <c r="S279" i="11" s="1"/>
  <c r="T279" i="11" s="1"/>
  <c r="N128" i="11" l="1"/>
  <c r="K128" i="11"/>
  <c r="G129" i="11" s="1"/>
  <c r="U279" i="11"/>
  <c r="V279" i="11" s="1"/>
  <c r="F279" i="11" s="1"/>
  <c r="B305" i="12"/>
  <c r="C280" i="11"/>
  <c r="D280" i="11"/>
  <c r="S280" i="11" s="1"/>
  <c r="T280" i="11" s="1"/>
  <c r="B281" i="11"/>
  <c r="E280" i="11"/>
  <c r="J129" i="11" l="1"/>
  <c r="H129" i="11" s="1"/>
  <c r="U280" i="11"/>
  <c r="V280" i="11" s="1"/>
  <c r="F280" i="11" s="1"/>
  <c r="B306" i="12"/>
  <c r="C281" i="11"/>
  <c r="B282" i="11"/>
  <c r="E281" i="11"/>
  <c r="D281" i="11"/>
  <c r="S281" i="11" s="1"/>
  <c r="T281" i="11" s="1"/>
  <c r="I129" i="11" l="1"/>
  <c r="L129" i="11" s="1"/>
  <c r="C154" i="12" s="1"/>
  <c r="U281" i="11"/>
  <c r="V281" i="11" s="1"/>
  <c r="F281" i="11" s="1"/>
  <c r="B307" i="12"/>
  <c r="C282" i="11"/>
  <c r="D282" i="11"/>
  <c r="S282" i="11" s="1"/>
  <c r="T282" i="11" s="1"/>
  <c r="B283" i="11"/>
  <c r="E282" i="11"/>
  <c r="N129" i="11" l="1"/>
  <c r="K129" i="11"/>
  <c r="G130" i="11" s="1"/>
  <c r="U282" i="11"/>
  <c r="V282" i="11" s="1"/>
  <c r="F282" i="11" s="1"/>
  <c r="B308" i="12"/>
  <c r="C283" i="11"/>
  <c r="B284" i="11"/>
  <c r="E283" i="11"/>
  <c r="D283" i="11"/>
  <c r="S283" i="11" s="1"/>
  <c r="T283" i="11" s="1"/>
  <c r="J130" i="11" l="1"/>
  <c r="H130" i="11" s="1"/>
  <c r="I130" i="11" s="1"/>
  <c r="N130" i="11" s="1"/>
  <c r="U283" i="11"/>
  <c r="V283" i="11" s="1"/>
  <c r="F283" i="11" s="1"/>
  <c r="B309" i="12"/>
  <c r="C284" i="11"/>
  <c r="D284" i="11"/>
  <c r="S284" i="11" s="1"/>
  <c r="T284" i="11" s="1"/>
  <c r="B285" i="11"/>
  <c r="E284" i="11"/>
  <c r="K130" i="11" l="1"/>
  <c r="G131" i="11" s="1"/>
  <c r="L130" i="11"/>
  <c r="C155" i="12" s="1"/>
  <c r="U284" i="11"/>
  <c r="V284" i="11" s="1"/>
  <c r="F284" i="11" s="1"/>
  <c r="B310" i="12"/>
  <c r="C285" i="11"/>
  <c r="B286" i="11"/>
  <c r="E285" i="11"/>
  <c r="D285" i="11"/>
  <c r="S285" i="11" s="1"/>
  <c r="T285" i="11" s="1"/>
  <c r="J131" i="11" l="1"/>
  <c r="H131" i="11" s="1"/>
  <c r="I131" i="11" s="1"/>
  <c r="N131" i="11" s="1"/>
  <c r="U285" i="11"/>
  <c r="V285" i="11"/>
  <c r="F285" i="11" s="1"/>
  <c r="B311" i="12"/>
  <c r="D286" i="11"/>
  <c r="S286" i="11" s="1"/>
  <c r="T286" i="11" s="1"/>
  <c r="C286" i="11"/>
  <c r="B287" i="11"/>
  <c r="E286" i="11"/>
  <c r="K131" i="11" l="1"/>
  <c r="G132" i="11" s="1"/>
  <c r="L131" i="11"/>
  <c r="C156" i="12" s="1"/>
  <c r="U286" i="11"/>
  <c r="V286" i="11" s="1"/>
  <c r="F286" i="11" s="1"/>
  <c r="B312" i="12"/>
  <c r="C287" i="11"/>
  <c r="B288" i="11"/>
  <c r="E287" i="11"/>
  <c r="D287" i="11"/>
  <c r="S287" i="11" s="1"/>
  <c r="T287" i="11" s="1"/>
  <c r="J132" i="11" l="1"/>
  <c r="H132" i="11" s="1"/>
  <c r="I132" i="11" s="1"/>
  <c r="N132" i="11" s="1"/>
  <c r="U287" i="11"/>
  <c r="V287" i="11" s="1"/>
  <c r="F287" i="11" s="1"/>
  <c r="D288" i="11"/>
  <c r="S288" i="11" s="1"/>
  <c r="T288" i="11" s="1"/>
  <c r="B313" i="12"/>
  <c r="C288" i="11"/>
  <c r="B289" i="11"/>
  <c r="E288" i="11"/>
  <c r="K132" i="11" l="1"/>
  <c r="G133" i="11" s="1"/>
  <c r="L132" i="11"/>
  <c r="C157" i="12" s="1"/>
  <c r="U288" i="11"/>
  <c r="V288" i="11" s="1"/>
  <c r="F288" i="11" s="1"/>
  <c r="B314" i="12"/>
  <c r="C289" i="11"/>
  <c r="B290" i="11"/>
  <c r="E289" i="11"/>
  <c r="D289" i="11"/>
  <c r="S289" i="11" s="1"/>
  <c r="T289" i="11" s="1"/>
  <c r="J133" i="11" l="1"/>
  <c r="H133" i="11" s="1"/>
  <c r="I133" i="11" s="1"/>
  <c r="N133" i="11" s="1"/>
  <c r="U289" i="11"/>
  <c r="V289" i="11"/>
  <c r="F289" i="11" s="1"/>
  <c r="B315" i="12"/>
  <c r="C290" i="11"/>
  <c r="D290" i="11"/>
  <c r="S290" i="11" s="1"/>
  <c r="T290" i="11" s="1"/>
  <c r="B291" i="11"/>
  <c r="E290" i="11"/>
  <c r="K133" i="11" l="1"/>
  <c r="G134" i="11" s="1"/>
  <c r="L133" i="11"/>
  <c r="C158" i="12" s="1"/>
  <c r="U290" i="11"/>
  <c r="V290" i="11" s="1"/>
  <c r="F290" i="11" s="1"/>
  <c r="B316" i="12"/>
  <c r="C291" i="11"/>
  <c r="B292" i="11"/>
  <c r="E291" i="11"/>
  <c r="D291" i="11"/>
  <c r="S291" i="11" s="1"/>
  <c r="T291" i="11" s="1"/>
  <c r="J134" i="11" l="1"/>
  <c r="H134" i="11" s="1"/>
  <c r="I134" i="11" s="1"/>
  <c r="N134" i="11" s="1"/>
  <c r="U291" i="11"/>
  <c r="V291" i="11" s="1"/>
  <c r="F291" i="11" s="1"/>
  <c r="B317" i="12"/>
  <c r="C292" i="11"/>
  <c r="D292" i="11"/>
  <c r="S292" i="11" s="1"/>
  <c r="T292" i="11" s="1"/>
  <c r="B293" i="11"/>
  <c r="E292" i="11"/>
  <c r="K134" i="11" l="1"/>
  <c r="G135" i="11" s="1"/>
  <c r="L134" i="11"/>
  <c r="C159" i="12" s="1"/>
  <c r="U292" i="11"/>
  <c r="V292" i="11" s="1"/>
  <c r="F292" i="11" s="1"/>
  <c r="B318" i="12"/>
  <c r="C293" i="11"/>
  <c r="B294" i="11"/>
  <c r="E293" i="11"/>
  <c r="D293" i="11"/>
  <c r="S293" i="11" s="1"/>
  <c r="T293" i="11" s="1"/>
  <c r="J135" i="11" l="1"/>
  <c r="H135" i="11" s="1"/>
  <c r="U293" i="11"/>
  <c r="V293" i="11" s="1"/>
  <c r="F293" i="11" s="1"/>
  <c r="B319" i="12"/>
  <c r="C294" i="11"/>
  <c r="D294" i="11"/>
  <c r="S294" i="11" s="1"/>
  <c r="T294" i="11" s="1"/>
  <c r="B295" i="11"/>
  <c r="E294" i="11"/>
  <c r="I135" i="11" l="1"/>
  <c r="U294" i="11"/>
  <c r="V294" i="11" s="1"/>
  <c r="F294" i="11" s="1"/>
  <c r="B320" i="12"/>
  <c r="C295" i="11"/>
  <c r="B296" i="11"/>
  <c r="E295" i="11"/>
  <c r="D295" i="11"/>
  <c r="S295" i="11" s="1"/>
  <c r="T295" i="11" s="1"/>
  <c r="N135" i="11" l="1"/>
  <c r="K135" i="11"/>
  <c r="G136" i="11" s="1"/>
  <c r="L135" i="11"/>
  <c r="C160" i="12" s="1"/>
  <c r="U295" i="11"/>
  <c r="V295" i="11" s="1"/>
  <c r="F295" i="11" s="1"/>
  <c r="B321" i="12"/>
  <c r="D296" i="11"/>
  <c r="S296" i="11" s="1"/>
  <c r="T296" i="11" s="1"/>
  <c r="C296" i="11"/>
  <c r="B297" i="11"/>
  <c r="E296" i="11"/>
  <c r="J136" i="11" l="1"/>
  <c r="H136" i="11" s="1"/>
  <c r="I136" i="11" s="1"/>
  <c r="N136" i="11" s="1"/>
  <c r="U296" i="11"/>
  <c r="V296" i="11"/>
  <c r="F296" i="11" s="1"/>
  <c r="B322" i="12"/>
  <c r="C297" i="11"/>
  <c r="B298" i="11"/>
  <c r="E297" i="11"/>
  <c r="D297" i="11"/>
  <c r="S297" i="11" s="1"/>
  <c r="T297" i="11" s="1"/>
  <c r="K136" i="11" l="1"/>
  <c r="G137" i="11" s="1"/>
  <c r="L136" i="11"/>
  <c r="C161" i="12" s="1"/>
  <c r="U297" i="11"/>
  <c r="V297" i="11" s="1"/>
  <c r="F297" i="11" s="1"/>
  <c r="B323" i="12"/>
  <c r="C298" i="11"/>
  <c r="D298" i="11"/>
  <c r="S298" i="11" s="1"/>
  <c r="T298" i="11" s="1"/>
  <c r="B299" i="11"/>
  <c r="E298" i="11"/>
  <c r="J137" i="11" l="1"/>
  <c r="H137" i="11" s="1"/>
  <c r="U298" i="11"/>
  <c r="V298" i="11" s="1"/>
  <c r="F298" i="11" s="1"/>
  <c r="B324" i="12"/>
  <c r="C299" i="11"/>
  <c r="B300" i="11"/>
  <c r="E299" i="11"/>
  <c r="D299" i="11"/>
  <c r="S299" i="11" s="1"/>
  <c r="T299" i="11" s="1"/>
  <c r="I137" i="11" l="1"/>
  <c r="O13" i="9"/>
  <c r="U299" i="11"/>
  <c r="V299" i="11" s="1"/>
  <c r="F299" i="11" s="1"/>
  <c r="B325" i="12"/>
  <c r="C300" i="11"/>
  <c r="D300" i="11"/>
  <c r="S300" i="11" s="1"/>
  <c r="T300" i="11" s="1"/>
  <c r="B301" i="11"/>
  <c r="E300" i="11"/>
  <c r="N137" i="11" l="1"/>
  <c r="K137" i="11"/>
  <c r="G138" i="11" s="1"/>
  <c r="O14" i="9"/>
  <c r="O57" i="9"/>
  <c r="O18" i="9"/>
  <c r="O34" i="9"/>
  <c r="O54" i="9"/>
  <c r="O56" i="9"/>
  <c r="O19" i="9"/>
  <c r="O55" i="9"/>
  <c r="O58" i="9"/>
  <c r="L137" i="11"/>
  <c r="C162" i="12" s="1"/>
  <c r="U300" i="11"/>
  <c r="V300" i="11" s="1"/>
  <c r="F300" i="11" s="1"/>
  <c r="B326" i="12"/>
  <c r="C301" i="11"/>
  <c r="B302" i="11"/>
  <c r="E301" i="11"/>
  <c r="D301" i="11"/>
  <c r="S301" i="11" s="1"/>
  <c r="T301" i="11" s="1"/>
  <c r="O67" i="9" l="1"/>
  <c r="O70" i="9"/>
  <c r="O68" i="9"/>
  <c r="O66" i="9"/>
  <c r="O35" i="9"/>
  <c r="O69" i="9"/>
  <c r="J138" i="11"/>
  <c r="H138" i="11" s="1"/>
  <c r="I138" i="11" s="1"/>
  <c r="N138" i="11" s="1"/>
  <c r="U301" i="11"/>
  <c r="V301" i="11" s="1"/>
  <c r="F301" i="11" s="1"/>
  <c r="B327" i="12"/>
  <c r="D302" i="11"/>
  <c r="S302" i="11" s="1"/>
  <c r="T302" i="11" s="1"/>
  <c r="C302" i="11"/>
  <c r="B303" i="11"/>
  <c r="E302" i="11"/>
  <c r="K138" i="11" l="1"/>
  <c r="G139" i="11" s="1"/>
  <c r="L138" i="11"/>
  <c r="C163" i="12" s="1"/>
  <c r="U302" i="11"/>
  <c r="V302" i="11" s="1"/>
  <c r="F302" i="11" s="1"/>
  <c r="B328" i="12"/>
  <c r="C303" i="11"/>
  <c r="B304" i="11"/>
  <c r="E303" i="11"/>
  <c r="D303" i="11"/>
  <c r="S303" i="11" s="1"/>
  <c r="T303" i="11" s="1"/>
  <c r="J139" i="11" l="1"/>
  <c r="H139" i="11" s="1"/>
  <c r="I139" i="11" s="1"/>
  <c r="N139" i="11" s="1"/>
  <c r="U303" i="11"/>
  <c r="V303" i="11"/>
  <c r="F303" i="11" s="1"/>
  <c r="B329" i="12"/>
  <c r="C304" i="11"/>
  <c r="D304" i="11"/>
  <c r="S304" i="11" s="1"/>
  <c r="T304" i="11" s="1"/>
  <c r="B305" i="11"/>
  <c r="E304" i="11"/>
  <c r="K139" i="11" l="1"/>
  <c r="G140" i="11" s="1"/>
  <c r="L139" i="11"/>
  <c r="C164" i="12" s="1"/>
  <c r="U304" i="11"/>
  <c r="V304" i="11"/>
  <c r="F304" i="11" s="1"/>
  <c r="B330" i="12"/>
  <c r="C305" i="11"/>
  <c r="B306" i="11"/>
  <c r="E305" i="11"/>
  <c r="D305" i="11"/>
  <c r="S305" i="11" s="1"/>
  <c r="T305" i="11" s="1"/>
  <c r="J140" i="11" l="1"/>
  <c r="H140" i="11" s="1"/>
  <c r="I140" i="11" s="1"/>
  <c r="N140" i="11" s="1"/>
  <c r="U305" i="11"/>
  <c r="V305" i="11" s="1"/>
  <c r="F305" i="11" s="1"/>
  <c r="B331" i="12"/>
  <c r="C306" i="11"/>
  <c r="D306" i="11"/>
  <c r="S306" i="11" s="1"/>
  <c r="T306" i="11" s="1"/>
  <c r="B307" i="11"/>
  <c r="E306" i="11"/>
  <c r="K140" i="11" l="1"/>
  <c r="G141" i="11" s="1"/>
  <c r="L140" i="11"/>
  <c r="C165" i="12" s="1"/>
  <c r="U306" i="11"/>
  <c r="V306" i="11" s="1"/>
  <c r="F306" i="11" s="1"/>
  <c r="B332" i="12"/>
  <c r="C307" i="11"/>
  <c r="D307" i="11"/>
  <c r="S307" i="11" s="1"/>
  <c r="T307" i="11" s="1"/>
  <c r="B308" i="11"/>
  <c r="E307" i="11"/>
  <c r="J141" i="11" l="1"/>
  <c r="H141" i="11" s="1"/>
  <c r="I141" i="11" s="1"/>
  <c r="N141" i="11" s="1"/>
  <c r="U307" i="11"/>
  <c r="V307" i="11" s="1"/>
  <c r="F307" i="11" s="1"/>
  <c r="B333" i="12"/>
  <c r="C308" i="11"/>
  <c r="B309" i="11"/>
  <c r="E308" i="11"/>
  <c r="D308" i="11"/>
  <c r="S308" i="11" s="1"/>
  <c r="T308" i="11" s="1"/>
  <c r="K141" i="11" l="1"/>
  <c r="G142" i="11" s="1"/>
  <c r="L141" i="11"/>
  <c r="C166" i="12" s="1"/>
  <c r="U308" i="11"/>
  <c r="V308" i="11" s="1"/>
  <c r="F308" i="11" s="1"/>
  <c r="B334" i="12"/>
  <c r="D309" i="11"/>
  <c r="S309" i="11" s="1"/>
  <c r="T309" i="11" s="1"/>
  <c r="C309" i="11"/>
  <c r="B310" i="11"/>
  <c r="E309" i="11"/>
  <c r="J142" i="11" l="1"/>
  <c r="H142" i="11" s="1"/>
  <c r="I142" i="11" s="1"/>
  <c r="N142" i="11" s="1"/>
  <c r="U309" i="11"/>
  <c r="V309" i="11" s="1"/>
  <c r="F309" i="11" s="1"/>
  <c r="B335" i="12"/>
  <c r="C310" i="11"/>
  <c r="B311" i="11"/>
  <c r="E310" i="11"/>
  <c r="D310" i="11"/>
  <c r="S310" i="11" s="1"/>
  <c r="T310" i="11" s="1"/>
  <c r="K142" i="11" l="1"/>
  <c r="G143" i="11" s="1"/>
  <c r="L142" i="11"/>
  <c r="C167" i="12" s="1"/>
  <c r="U310" i="11"/>
  <c r="V310" i="11" s="1"/>
  <c r="F310" i="11" s="1"/>
  <c r="B336" i="12"/>
  <c r="C311" i="11"/>
  <c r="D311" i="11"/>
  <c r="S311" i="11" s="1"/>
  <c r="T311" i="11" s="1"/>
  <c r="B312" i="11"/>
  <c r="E311" i="11"/>
  <c r="J143" i="11" l="1"/>
  <c r="H143" i="11" s="1"/>
  <c r="U311" i="11"/>
  <c r="V311" i="11" s="1"/>
  <c r="F311" i="11" s="1"/>
  <c r="B337" i="12"/>
  <c r="C312" i="11"/>
  <c r="B313" i="11"/>
  <c r="E312" i="11"/>
  <c r="D312" i="11"/>
  <c r="S312" i="11" s="1"/>
  <c r="T312" i="11" s="1"/>
  <c r="I143" i="11" l="1"/>
  <c r="L143" i="11" s="1"/>
  <c r="C168" i="12" s="1"/>
  <c r="U312" i="11"/>
  <c r="V312" i="11" s="1"/>
  <c r="F312" i="11" s="1"/>
  <c r="B338" i="12"/>
  <c r="C313" i="11"/>
  <c r="D313" i="11"/>
  <c r="S313" i="11" s="1"/>
  <c r="T313" i="11" s="1"/>
  <c r="B314" i="11"/>
  <c r="E313" i="11"/>
  <c r="N143" i="11" l="1"/>
  <c r="K143" i="11"/>
  <c r="G144" i="11" s="1"/>
  <c r="U313" i="11"/>
  <c r="V313" i="11" s="1"/>
  <c r="F313" i="11" s="1"/>
  <c r="B339" i="12"/>
  <c r="C314" i="11"/>
  <c r="B315" i="11"/>
  <c r="E314" i="11"/>
  <c r="D314" i="11"/>
  <c r="S314" i="11" s="1"/>
  <c r="T314" i="11" s="1"/>
  <c r="J144" i="11" l="1"/>
  <c r="H144" i="11" s="1"/>
  <c r="I144" i="11" s="1"/>
  <c r="N144" i="11" s="1"/>
  <c r="U314" i="11"/>
  <c r="V314" i="11" s="1"/>
  <c r="F314" i="11" s="1"/>
  <c r="B340" i="12"/>
  <c r="C315" i="11"/>
  <c r="D315" i="11"/>
  <c r="S315" i="11" s="1"/>
  <c r="T315" i="11" s="1"/>
  <c r="B316" i="11"/>
  <c r="E315" i="11"/>
  <c r="K144" i="11" l="1"/>
  <c r="G145" i="11" s="1"/>
  <c r="L144" i="11"/>
  <c r="C169" i="12" s="1"/>
  <c r="U315" i="11"/>
  <c r="V315" i="11" s="1"/>
  <c r="F315" i="11" s="1"/>
  <c r="B341" i="12"/>
  <c r="C316" i="11"/>
  <c r="B317" i="11"/>
  <c r="E316" i="11"/>
  <c r="D316" i="11"/>
  <c r="S316" i="11" s="1"/>
  <c r="T316" i="11" s="1"/>
  <c r="J145" i="11" l="1"/>
  <c r="H145" i="11" s="1"/>
  <c r="I145" i="11" s="1"/>
  <c r="N145" i="11" s="1"/>
  <c r="U316" i="11"/>
  <c r="V316" i="11" s="1"/>
  <c r="F316" i="11" s="1"/>
  <c r="D317" i="11"/>
  <c r="S317" i="11" s="1"/>
  <c r="T317" i="11" s="1"/>
  <c r="B342" i="12"/>
  <c r="C317" i="11"/>
  <c r="B318" i="11"/>
  <c r="E317" i="11"/>
  <c r="K145" i="11" l="1"/>
  <c r="G146" i="11" s="1"/>
  <c r="L145" i="11"/>
  <c r="C170" i="12" s="1"/>
  <c r="U317" i="11"/>
  <c r="V317" i="11" s="1"/>
  <c r="F317" i="11" s="1"/>
  <c r="B343" i="12"/>
  <c r="C318" i="11"/>
  <c r="B319" i="11"/>
  <c r="E318" i="11"/>
  <c r="D318" i="11"/>
  <c r="S318" i="11" s="1"/>
  <c r="T318" i="11" s="1"/>
  <c r="J146" i="11" l="1"/>
  <c r="H146" i="11" s="1"/>
  <c r="I146" i="11" s="1"/>
  <c r="N146" i="11" s="1"/>
  <c r="U318" i="11"/>
  <c r="V318" i="11"/>
  <c r="F318" i="11" s="1"/>
  <c r="B344" i="12"/>
  <c r="C319" i="11"/>
  <c r="D319" i="11"/>
  <c r="S319" i="11" s="1"/>
  <c r="T319" i="11" s="1"/>
  <c r="B320" i="11"/>
  <c r="E319" i="11"/>
  <c r="K146" i="11" l="1"/>
  <c r="G147" i="11" s="1"/>
  <c r="L146" i="11"/>
  <c r="C171" i="12" s="1"/>
  <c r="U319" i="11"/>
  <c r="V319" i="11" s="1"/>
  <c r="F319" i="11" s="1"/>
  <c r="B345" i="12"/>
  <c r="C320" i="11"/>
  <c r="B321" i="11"/>
  <c r="E320" i="11"/>
  <c r="D320" i="11"/>
  <c r="S320" i="11" s="1"/>
  <c r="T320" i="11" s="1"/>
  <c r="J147" i="11" l="1"/>
  <c r="H147" i="11" s="1"/>
  <c r="I147" i="11" s="1"/>
  <c r="N147" i="11" s="1"/>
  <c r="U320" i="11"/>
  <c r="V320" i="11" s="1"/>
  <c r="F320" i="11" s="1"/>
  <c r="B346" i="12"/>
  <c r="C321" i="11"/>
  <c r="D321" i="11"/>
  <c r="S321" i="11" s="1"/>
  <c r="T321" i="11" s="1"/>
  <c r="B322" i="11"/>
  <c r="E321" i="11"/>
  <c r="K147" i="11" l="1"/>
  <c r="G148" i="11" s="1"/>
  <c r="L147" i="11"/>
  <c r="C172" i="12" s="1"/>
  <c r="U321" i="11"/>
  <c r="V321" i="11" s="1"/>
  <c r="F321" i="11" s="1"/>
  <c r="B347" i="12"/>
  <c r="C322" i="11"/>
  <c r="B323" i="11"/>
  <c r="E322" i="11"/>
  <c r="D322" i="11"/>
  <c r="S322" i="11" s="1"/>
  <c r="T322" i="11" s="1"/>
  <c r="J148" i="11" l="1"/>
  <c r="H148" i="11" s="1"/>
  <c r="I148" i="11" s="1"/>
  <c r="N148" i="11" s="1"/>
  <c r="U322" i="11"/>
  <c r="V322" i="11"/>
  <c r="F322" i="11" s="1"/>
  <c r="B348" i="12"/>
  <c r="C323" i="11"/>
  <c r="D323" i="11"/>
  <c r="S323" i="11" s="1"/>
  <c r="T323" i="11" s="1"/>
  <c r="B324" i="11"/>
  <c r="E323" i="11"/>
  <c r="K148" i="11" l="1"/>
  <c r="G149" i="11" s="1"/>
  <c r="L148" i="11"/>
  <c r="C173" i="12" s="1"/>
  <c r="U323" i="11"/>
  <c r="V323" i="11" s="1"/>
  <c r="F323" i="11" s="1"/>
  <c r="B349" i="12"/>
  <c r="C324" i="11"/>
  <c r="B325" i="11"/>
  <c r="E324" i="11"/>
  <c r="D324" i="11"/>
  <c r="S324" i="11" s="1"/>
  <c r="T324" i="11" s="1"/>
  <c r="J149" i="11" l="1"/>
  <c r="U324" i="11"/>
  <c r="V324" i="11" s="1"/>
  <c r="F324" i="11" s="1"/>
  <c r="B350" i="12"/>
  <c r="C325" i="11"/>
  <c r="D325" i="11"/>
  <c r="S325" i="11" s="1"/>
  <c r="T325" i="11" s="1"/>
  <c r="B326" i="11"/>
  <c r="E325" i="11"/>
  <c r="H149" i="11" l="1"/>
  <c r="P13" i="9" s="1"/>
  <c r="I149" i="11"/>
  <c r="U325" i="11"/>
  <c r="V325" i="11" s="1"/>
  <c r="F325" i="11" s="1"/>
  <c r="B351" i="12"/>
  <c r="C326" i="11"/>
  <c r="B327" i="11"/>
  <c r="E326" i="11"/>
  <c r="D326" i="11"/>
  <c r="S326" i="11" s="1"/>
  <c r="T326" i="11" s="1"/>
  <c r="P18" i="9" l="1"/>
  <c r="P58" i="9"/>
  <c r="P55" i="9"/>
  <c r="P14" i="9"/>
  <c r="P54" i="9"/>
  <c r="P57" i="9"/>
  <c r="P34" i="9"/>
  <c r="P70" i="9" s="1"/>
  <c r="P19" i="9"/>
  <c r="P56" i="9"/>
  <c r="L149" i="11"/>
  <c r="C174" i="12" s="1"/>
  <c r="N149" i="11"/>
  <c r="K149" i="11"/>
  <c r="G150" i="11" s="1"/>
  <c r="P67" i="9"/>
  <c r="P69" i="9"/>
  <c r="P66" i="9"/>
  <c r="P68" i="9"/>
  <c r="U326" i="11"/>
  <c r="V326" i="11" s="1"/>
  <c r="F326" i="11" s="1"/>
  <c r="B352" i="12"/>
  <c r="C327" i="11"/>
  <c r="D327" i="11"/>
  <c r="S327" i="11" s="1"/>
  <c r="T327" i="11" s="1"/>
  <c r="B328" i="11"/>
  <c r="E327" i="11"/>
  <c r="P35" i="9" l="1"/>
  <c r="J150" i="11"/>
  <c r="H150" i="11"/>
  <c r="I150" i="11" s="1"/>
  <c r="U327" i="11"/>
  <c r="V327" i="11" s="1"/>
  <c r="F327" i="11" s="1"/>
  <c r="B353" i="12"/>
  <c r="C328" i="11"/>
  <c r="D328" i="11"/>
  <c r="S328" i="11" s="1"/>
  <c r="T328" i="11" s="1"/>
  <c r="B329" i="11"/>
  <c r="E328" i="11"/>
  <c r="L150" i="11" l="1"/>
  <c r="C175" i="12" s="1"/>
  <c r="N150" i="11"/>
  <c r="K150" i="11"/>
  <c r="G151" i="11" s="1"/>
  <c r="U328" i="11"/>
  <c r="V328" i="11" s="1"/>
  <c r="F328" i="11" s="1"/>
  <c r="B354" i="12"/>
  <c r="C329" i="11"/>
  <c r="D329" i="11"/>
  <c r="S329" i="11" s="1"/>
  <c r="T329" i="11" s="1"/>
  <c r="B330" i="11"/>
  <c r="E329" i="11"/>
  <c r="J151" i="11" l="1"/>
  <c r="H151" i="11"/>
  <c r="I151" i="11" s="1"/>
  <c r="N151" i="11" s="1"/>
  <c r="U329" i="11"/>
  <c r="V329" i="11" s="1"/>
  <c r="F329" i="11" s="1"/>
  <c r="B355" i="12"/>
  <c r="C330" i="11"/>
  <c r="B331" i="11"/>
  <c r="E330" i="11"/>
  <c r="D330" i="11"/>
  <c r="S330" i="11" s="1"/>
  <c r="T330" i="11" s="1"/>
  <c r="K151" i="11" l="1"/>
  <c r="G152" i="11" s="1"/>
  <c r="L151" i="11"/>
  <c r="C176" i="12" s="1"/>
  <c r="U330" i="11"/>
  <c r="V330" i="11" s="1"/>
  <c r="F330" i="11" s="1"/>
  <c r="B356" i="12"/>
  <c r="D331" i="11"/>
  <c r="S331" i="11" s="1"/>
  <c r="T331" i="11" s="1"/>
  <c r="C331" i="11"/>
  <c r="B332" i="11"/>
  <c r="E331" i="11"/>
  <c r="J152" i="11" l="1"/>
  <c r="H152" i="11" s="1"/>
  <c r="I152" i="11" s="1"/>
  <c r="N152" i="11" s="1"/>
  <c r="U331" i="11"/>
  <c r="V331" i="11" s="1"/>
  <c r="F331" i="11" s="1"/>
  <c r="B357" i="12"/>
  <c r="C332" i="11"/>
  <c r="B333" i="11"/>
  <c r="E332" i="11"/>
  <c r="D332" i="11"/>
  <c r="S332" i="11" s="1"/>
  <c r="T332" i="11" s="1"/>
  <c r="K152" i="11" l="1"/>
  <c r="G153" i="11" s="1"/>
  <c r="L152" i="11"/>
  <c r="C177" i="12" s="1"/>
  <c r="U332" i="11"/>
  <c r="V332" i="11" s="1"/>
  <c r="F332" i="11" s="1"/>
  <c r="B358" i="12"/>
  <c r="C333" i="11"/>
  <c r="D333" i="11"/>
  <c r="S333" i="11" s="1"/>
  <c r="T333" i="11" s="1"/>
  <c r="B334" i="11"/>
  <c r="E333" i="11"/>
  <c r="J153" i="11" l="1"/>
  <c r="H153" i="11" s="1"/>
  <c r="I153" i="11" s="1"/>
  <c r="N153" i="11" s="1"/>
  <c r="U333" i="11"/>
  <c r="V333" i="11"/>
  <c r="F333" i="11" s="1"/>
  <c r="B359" i="12"/>
  <c r="C334" i="11"/>
  <c r="B335" i="11"/>
  <c r="E334" i="11"/>
  <c r="D334" i="11"/>
  <c r="S334" i="11" s="1"/>
  <c r="T334" i="11" s="1"/>
  <c r="K153" i="11" l="1"/>
  <c r="G154" i="11" s="1"/>
  <c r="L153" i="11"/>
  <c r="C178" i="12" s="1"/>
  <c r="U334" i="11"/>
  <c r="V334" i="11" s="1"/>
  <c r="F334" i="11" s="1"/>
  <c r="B360" i="12"/>
  <c r="D335" i="11"/>
  <c r="S335" i="11" s="1"/>
  <c r="T335" i="11" s="1"/>
  <c r="C335" i="11"/>
  <c r="B336" i="11"/>
  <c r="E335" i="11"/>
  <c r="J154" i="11" l="1"/>
  <c r="H154" i="11" s="1"/>
  <c r="I154" i="11" s="1"/>
  <c r="N154" i="11" s="1"/>
  <c r="U335" i="11"/>
  <c r="V335" i="11" s="1"/>
  <c r="F335" i="11" s="1"/>
  <c r="B361" i="12"/>
  <c r="C336" i="11"/>
  <c r="B337" i="11"/>
  <c r="E336" i="11"/>
  <c r="D336" i="11"/>
  <c r="S336" i="11" s="1"/>
  <c r="T336" i="11" s="1"/>
  <c r="K154" i="11" l="1"/>
  <c r="G155" i="11" s="1"/>
  <c r="L154" i="11"/>
  <c r="C179" i="12" s="1"/>
  <c r="U336" i="11"/>
  <c r="V336" i="11" s="1"/>
  <c r="F336" i="11" s="1"/>
  <c r="B362" i="12"/>
  <c r="C337" i="11"/>
  <c r="D337" i="11"/>
  <c r="S337" i="11" s="1"/>
  <c r="T337" i="11" s="1"/>
  <c r="B338" i="11"/>
  <c r="E337" i="11"/>
  <c r="J155" i="11" l="1"/>
  <c r="H155" i="11" s="1"/>
  <c r="U337" i="11"/>
  <c r="V337" i="11" s="1"/>
  <c r="F337" i="11" s="1"/>
  <c r="B363" i="12"/>
  <c r="C338" i="11"/>
  <c r="D338" i="11"/>
  <c r="S338" i="11" s="1"/>
  <c r="T338" i="11" s="1"/>
  <c r="B339" i="11"/>
  <c r="E338" i="11"/>
  <c r="I155" i="11" l="1"/>
  <c r="L155" i="11" s="1"/>
  <c r="C180" i="12" s="1"/>
  <c r="U338" i="11"/>
  <c r="V338" i="11" s="1"/>
  <c r="F338" i="11" s="1"/>
  <c r="B364" i="12"/>
  <c r="C339" i="11"/>
  <c r="B340" i="11"/>
  <c r="E339" i="11"/>
  <c r="D339" i="11"/>
  <c r="S339" i="11" s="1"/>
  <c r="T339" i="11" s="1"/>
  <c r="N155" i="11" l="1"/>
  <c r="K155" i="11"/>
  <c r="G156" i="11" s="1"/>
  <c r="U339" i="11"/>
  <c r="V339" i="11" s="1"/>
  <c r="F339" i="11" s="1"/>
  <c r="B365" i="12"/>
  <c r="C340" i="11"/>
  <c r="D340" i="11"/>
  <c r="S340" i="11" s="1"/>
  <c r="T340" i="11" s="1"/>
  <c r="B341" i="11"/>
  <c r="E340" i="11"/>
  <c r="J156" i="11" l="1"/>
  <c r="H156" i="11"/>
  <c r="I156" i="11" s="1"/>
  <c r="N156" i="11" s="1"/>
  <c r="U340" i="11"/>
  <c r="V340" i="11" s="1"/>
  <c r="F340" i="11" s="1"/>
  <c r="B366" i="12"/>
  <c r="C341" i="11"/>
  <c r="B342" i="11"/>
  <c r="E341" i="11"/>
  <c r="D341" i="11"/>
  <c r="S341" i="11" s="1"/>
  <c r="T341" i="11" s="1"/>
  <c r="L156" i="11" l="1"/>
  <c r="C181" i="12" s="1"/>
  <c r="K156" i="11"/>
  <c r="G157" i="11" s="1"/>
  <c r="U341" i="11"/>
  <c r="V341" i="11" s="1"/>
  <c r="F341" i="11" s="1"/>
  <c r="B367" i="12"/>
  <c r="C342" i="11"/>
  <c r="D342" i="11"/>
  <c r="S342" i="11" s="1"/>
  <c r="T342" i="11" s="1"/>
  <c r="B343" i="11"/>
  <c r="E342" i="11"/>
  <c r="J157" i="11" l="1"/>
  <c r="H157" i="11" s="1"/>
  <c r="I157" i="11" s="1"/>
  <c r="N157" i="11" s="1"/>
  <c r="U342" i="11"/>
  <c r="V342" i="11" s="1"/>
  <c r="F342" i="11" s="1"/>
  <c r="B368" i="12"/>
  <c r="C343" i="11"/>
  <c r="B344" i="11"/>
  <c r="E343" i="11"/>
  <c r="D343" i="11"/>
  <c r="S343" i="11" s="1"/>
  <c r="T343" i="11" s="1"/>
  <c r="K157" i="11" l="1"/>
  <c r="G158" i="11" s="1"/>
  <c r="L157" i="11"/>
  <c r="C182" i="12" s="1"/>
  <c r="U343" i="11"/>
  <c r="V343" i="11" s="1"/>
  <c r="F343" i="11" s="1"/>
  <c r="B369" i="12"/>
  <c r="C344" i="11"/>
  <c r="D344" i="11"/>
  <c r="S344" i="11" s="1"/>
  <c r="T344" i="11" s="1"/>
  <c r="B345" i="11"/>
  <c r="E344" i="11"/>
  <c r="J158" i="11" l="1"/>
  <c r="H158" i="11" s="1"/>
  <c r="U344" i="11"/>
  <c r="V344" i="11" s="1"/>
  <c r="F344" i="11" s="1"/>
  <c r="B370" i="12"/>
  <c r="C345" i="11"/>
  <c r="B346" i="11"/>
  <c r="E345" i="11"/>
  <c r="D345" i="11"/>
  <c r="S345" i="11" s="1"/>
  <c r="T345" i="11" s="1"/>
  <c r="I158" i="11" l="1"/>
  <c r="L158" i="11" s="1"/>
  <c r="C183" i="12" s="1"/>
  <c r="U345" i="11"/>
  <c r="V345" i="11" s="1"/>
  <c r="F345" i="11" s="1"/>
  <c r="B371" i="12"/>
  <c r="C346" i="11"/>
  <c r="D346" i="11"/>
  <c r="S346" i="11" s="1"/>
  <c r="T346" i="11" s="1"/>
  <c r="B347" i="11"/>
  <c r="E346" i="11"/>
  <c r="N158" i="11" l="1"/>
  <c r="K158" i="11"/>
  <c r="G159" i="11" s="1"/>
  <c r="U346" i="11"/>
  <c r="V346" i="11" s="1"/>
  <c r="F346" i="11" s="1"/>
  <c r="B372" i="12"/>
  <c r="C347" i="11"/>
  <c r="D347" i="11"/>
  <c r="S347" i="11" s="1"/>
  <c r="T347" i="11" s="1"/>
  <c r="B348" i="11"/>
  <c r="E347" i="11"/>
  <c r="J159" i="11" l="1"/>
  <c r="H159" i="11" s="1"/>
  <c r="I159" i="11" s="1"/>
  <c r="N159" i="11" s="1"/>
  <c r="U347" i="11"/>
  <c r="V347" i="11"/>
  <c r="F347" i="11" s="1"/>
  <c r="B373" i="12"/>
  <c r="C348" i="11"/>
  <c r="B349" i="11"/>
  <c r="E348" i="11"/>
  <c r="D348" i="11"/>
  <c r="S348" i="11" s="1"/>
  <c r="T348" i="11" s="1"/>
  <c r="K159" i="11" l="1"/>
  <c r="G160" i="11" s="1"/>
  <c r="L159" i="11"/>
  <c r="C184" i="12" s="1"/>
  <c r="U348" i="11"/>
  <c r="V348" i="11" s="1"/>
  <c r="F348" i="11" s="1"/>
  <c r="B374" i="12"/>
  <c r="C349" i="11"/>
  <c r="D349" i="11"/>
  <c r="S349" i="11" s="1"/>
  <c r="T349" i="11" s="1"/>
  <c r="B350" i="11"/>
  <c r="E349" i="11"/>
  <c r="J160" i="11" l="1"/>
  <c r="H160" i="11" s="1"/>
  <c r="I160" i="11" s="1"/>
  <c r="N160" i="11" s="1"/>
  <c r="U349" i="11"/>
  <c r="V349" i="11"/>
  <c r="F349" i="11" s="1"/>
  <c r="B375" i="12"/>
  <c r="C350" i="11"/>
  <c r="D350" i="11"/>
  <c r="S350" i="11" s="1"/>
  <c r="T350" i="11" s="1"/>
  <c r="B351" i="11"/>
  <c r="E350" i="11"/>
  <c r="K160" i="11" l="1"/>
  <c r="G161" i="11" s="1"/>
  <c r="L160" i="11"/>
  <c r="C185" i="12" s="1"/>
  <c r="U350" i="11"/>
  <c r="V350" i="11"/>
  <c r="F350" i="11" s="1"/>
  <c r="B376" i="12"/>
  <c r="C351" i="11"/>
  <c r="B352" i="11"/>
  <c r="E351" i="11"/>
  <c r="D351" i="11"/>
  <c r="S351" i="11" s="1"/>
  <c r="T351" i="11" s="1"/>
  <c r="J161" i="11" l="1"/>
  <c r="H161" i="11" s="1"/>
  <c r="Q13" i="9" s="1"/>
  <c r="U351" i="11"/>
  <c r="V351" i="11" s="1"/>
  <c r="F351" i="11" s="1"/>
  <c r="B377" i="12"/>
  <c r="C352" i="11"/>
  <c r="D352" i="11"/>
  <c r="S352" i="11" s="1"/>
  <c r="T352" i="11" s="1"/>
  <c r="B353" i="11"/>
  <c r="E352" i="11"/>
  <c r="Q19" i="9" l="1"/>
  <c r="Q14" i="9"/>
  <c r="Q54" i="9"/>
  <c r="Q56" i="9"/>
  <c r="Q18" i="9"/>
  <c r="Q34" i="9"/>
  <c r="Q55" i="9"/>
  <c r="Q58" i="9"/>
  <c r="Q57" i="9"/>
  <c r="I161" i="11"/>
  <c r="U352" i="11"/>
  <c r="V352" i="11" s="1"/>
  <c r="F352" i="11" s="1"/>
  <c r="B378" i="12"/>
  <c r="C353" i="11"/>
  <c r="B354" i="11"/>
  <c r="E353" i="11"/>
  <c r="D353" i="11"/>
  <c r="S353" i="11" s="1"/>
  <c r="T353" i="11" s="1"/>
  <c r="Q35" i="9" l="1"/>
  <c r="Q67" i="9"/>
  <c r="Q68" i="9"/>
  <c r="Q69" i="9"/>
  <c r="Q70" i="9"/>
  <c r="Q66" i="9"/>
  <c r="L161" i="11"/>
  <c r="C186" i="12" s="1"/>
  <c r="N161" i="11"/>
  <c r="K161" i="11"/>
  <c r="G162" i="11" s="1"/>
  <c r="U353" i="11"/>
  <c r="V353" i="11" s="1"/>
  <c r="F353" i="11" s="1"/>
  <c r="B379" i="12"/>
  <c r="C354" i="11"/>
  <c r="D354" i="11"/>
  <c r="S354" i="11" s="1"/>
  <c r="T354" i="11" s="1"/>
  <c r="B355" i="11"/>
  <c r="E354" i="11"/>
  <c r="J162" i="11" l="1"/>
  <c r="H162" i="11"/>
  <c r="I162" i="11" s="1"/>
  <c r="N162" i="11" s="1"/>
  <c r="U354" i="11"/>
  <c r="V354" i="11" s="1"/>
  <c r="F354" i="11" s="1"/>
  <c r="B380" i="12"/>
  <c r="C355" i="11"/>
  <c r="B356" i="11"/>
  <c r="E355" i="11"/>
  <c r="D355" i="11"/>
  <c r="S355" i="11" s="1"/>
  <c r="T355" i="11" s="1"/>
  <c r="K162" i="11" l="1"/>
  <c r="G163" i="11" s="1"/>
  <c r="L162" i="11"/>
  <c r="C187" i="12" s="1"/>
  <c r="U355" i="11"/>
  <c r="V355" i="11"/>
  <c r="F355" i="11" s="1"/>
  <c r="B381" i="12"/>
  <c r="C356" i="11"/>
  <c r="D356" i="11"/>
  <c r="S356" i="11" s="1"/>
  <c r="T356" i="11" s="1"/>
  <c r="B357" i="11"/>
  <c r="E356" i="11"/>
  <c r="J163" i="11" l="1"/>
  <c r="H163" i="11" s="1"/>
  <c r="I163" i="11" s="1"/>
  <c r="N163" i="11" s="1"/>
  <c r="U356" i="11"/>
  <c r="V356" i="11" s="1"/>
  <c r="F356" i="11" s="1"/>
  <c r="B382" i="12"/>
  <c r="C357" i="11"/>
  <c r="B358" i="11"/>
  <c r="E357" i="11"/>
  <c r="D357" i="11"/>
  <c r="S357" i="11" s="1"/>
  <c r="T357" i="11" s="1"/>
  <c r="K163" i="11" l="1"/>
  <c r="G164" i="11" s="1"/>
  <c r="L163" i="11"/>
  <c r="C188" i="12" s="1"/>
  <c r="U357" i="11"/>
  <c r="V357" i="11" s="1"/>
  <c r="F357" i="11" s="1"/>
  <c r="B383" i="12"/>
  <c r="C358" i="11"/>
  <c r="D358" i="11"/>
  <c r="S358" i="11" s="1"/>
  <c r="T358" i="11" s="1"/>
  <c r="B359" i="11"/>
  <c r="E358" i="11"/>
  <c r="J164" i="11" l="1"/>
  <c r="H164" i="11" s="1"/>
  <c r="I164" i="11" s="1"/>
  <c r="N164" i="11" s="1"/>
  <c r="U358" i="11"/>
  <c r="V358" i="11" s="1"/>
  <c r="F358" i="11" s="1"/>
  <c r="B384" i="12"/>
  <c r="C359" i="11"/>
  <c r="B360" i="11"/>
  <c r="E359" i="11"/>
  <c r="D359" i="11"/>
  <c r="S359" i="11" s="1"/>
  <c r="T359" i="11" s="1"/>
  <c r="K164" i="11" l="1"/>
  <c r="G165" i="11" s="1"/>
  <c r="L164" i="11"/>
  <c r="C189" i="12" s="1"/>
  <c r="U359" i="11"/>
  <c r="V359" i="11" s="1"/>
  <c r="F359" i="11" s="1"/>
  <c r="B385" i="12"/>
  <c r="C360" i="11"/>
  <c r="D360" i="11"/>
  <c r="S360" i="11" s="1"/>
  <c r="T360" i="11" s="1"/>
  <c r="B361" i="11"/>
  <c r="E360" i="11"/>
  <c r="J165" i="11" l="1"/>
  <c r="H165" i="11" s="1"/>
  <c r="B386" i="12"/>
  <c r="U360" i="11"/>
  <c r="V360" i="11"/>
  <c r="F360" i="11" s="1"/>
  <c r="C361" i="11"/>
  <c r="B362" i="11"/>
  <c r="E361" i="11"/>
  <c r="D361" i="11"/>
  <c r="S361" i="11" s="1"/>
  <c r="T361" i="11" s="1"/>
  <c r="I165" i="11" l="1"/>
  <c r="B387" i="12"/>
  <c r="U361" i="11"/>
  <c r="V361" i="11" s="1"/>
  <c r="F361" i="11" s="1"/>
  <c r="C362" i="11"/>
  <c r="D362" i="11"/>
  <c r="S362" i="11" s="1"/>
  <c r="T362" i="11" s="1"/>
  <c r="B363" i="11"/>
  <c r="E362" i="11"/>
  <c r="N165" i="11" l="1"/>
  <c r="K165" i="11"/>
  <c r="G166" i="11" s="1"/>
  <c r="L165" i="11"/>
  <c r="C190" i="12" s="1"/>
  <c r="B388" i="12"/>
  <c r="U362" i="11"/>
  <c r="V362" i="11" s="1"/>
  <c r="F362" i="11" s="1"/>
  <c r="C363" i="11"/>
  <c r="B364" i="11"/>
  <c r="E363" i="11"/>
  <c r="D363" i="11"/>
  <c r="S363" i="11" s="1"/>
  <c r="T363" i="11" s="1"/>
  <c r="J166" i="11" l="1"/>
  <c r="H166" i="11" s="1"/>
  <c r="B389" i="12"/>
  <c r="U363" i="11"/>
  <c r="V363" i="11" s="1"/>
  <c r="F363" i="11" s="1"/>
  <c r="C364" i="11"/>
  <c r="D364" i="11"/>
  <c r="S364" i="11" s="1"/>
  <c r="T364" i="11" s="1"/>
  <c r="B365" i="11"/>
  <c r="E364" i="11"/>
  <c r="I166" i="11" l="1"/>
  <c r="B390" i="12"/>
  <c r="U364" i="11"/>
  <c r="V364" i="11" s="1"/>
  <c r="F364" i="11" s="1"/>
  <c r="C365" i="11"/>
  <c r="B366" i="11"/>
  <c r="E365" i="11"/>
  <c r="D365" i="11"/>
  <c r="S365" i="11" s="1"/>
  <c r="T365" i="11" s="1"/>
  <c r="N166" i="11" l="1"/>
  <c r="K166" i="11"/>
  <c r="G167" i="11" s="1"/>
  <c r="L166" i="11"/>
  <c r="C191" i="12" s="1"/>
  <c r="B391" i="12"/>
  <c r="F366" i="11"/>
  <c r="U365" i="11"/>
  <c r="V365" i="11"/>
  <c r="F365" i="11" s="1"/>
  <c r="C366" i="11"/>
  <c r="D366" i="11"/>
  <c r="S366" i="11" s="1"/>
  <c r="T366" i="11" s="1"/>
  <c r="B367" i="11"/>
  <c r="E366" i="11"/>
  <c r="J167" i="11" l="1"/>
  <c r="H167" i="11" s="1"/>
  <c r="B392" i="12"/>
  <c r="F367" i="11"/>
  <c r="U366" i="11"/>
  <c r="V366" i="11"/>
  <c r="C367" i="11"/>
  <c r="B368" i="11"/>
  <c r="E367" i="11"/>
  <c r="D367" i="11"/>
  <c r="S367" i="11" s="1"/>
  <c r="T367" i="11" s="1"/>
  <c r="I167" i="11" l="1"/>
  <c r="B393" i="12"/>
  <c r="F368" i="11"/>
  <c r="U367" i="11"/>
  <c r="V367" i="11"/>
  <c r="C368" i="11"/>
  <c r="D368" i="11"/>
  <c r="S368" i="11" s="1"/>
  <c r="T368" i="11" s="1"/>
  <c r="B369" i="11"/>
  <c r="E368" i="11"/>
  <c r="N167" i="11" l="1"/>
  <c r="K167" i="11"/>
  <c r="G168" i="11" s="1"/>
  <c r="L167" i="11"/>
  <c r="C192" i="12" s="1"/>
  <c r="B394" i="12"/>
  <c r="F369" i="11"/>
  <c r="V368" i="11"/>
  <c r="U368" i="11"/>
  <c r="C369" i="11"/>
  <c r="B370" i="11"/>
  <c r="E369" i="11"/>
  <c r="D369" i="11"/>
  <c r="S369" i="11" s="1"/>
  <c r="T369" i="11" s="1"/>
  <c r="J168" i="11" l="1"/>
  <c r="H168" i="11" s="1"/>
  <c r="B395" i="12"/>
  <c r="F370" i="11"/>
  <c r="V369" i="11"/>
  <c r="U369" i="11"/>
  <c r="C370" i="11"/>
  <c r="D370" i="11"/>
  <c r="S370" i="11" s="1"/>
  <c r="T370" i="11" s="1"/>
  <c r="B371" i="11"/>
  <c r="E370" i="11"/>
  <c r="I168" i="11" l="1"/>
  <c r="B396" i="12"/>
  <c r="F371" i="11"/>
  <c r="U370" i="11"/>
  <c r="V370" i="11"/>
  <c r="C371" i="11"/>
  <c r="B372" i="11"/>
  <c r="E371" i="11"/>
  <c r="D371" i="11"/>
  <c r="S371" i="11" s="1"/>
  <c r="T371" i="11" s="1"/>
  <c r="N168" i="11" l="1"/>
  <c r="K168" i="11"/>
  <c r="G169" i="11" s="1"/>
  <c r="L168" i="11"/>
  <c r="C193" i="12" s="1"/>
  <c r="B397" i="12"/>
  <c r="F372" i="11"/>
  <c r="V371" i="11"/>
  <c r="U371" i="11"/>
  <c r="C372" i="11"/>
  <c r="D372" i="11"/>
  <c r="S372" i="11" s="1"/>
  <c r="T372" i="11" s="1"/>
  <c r="B373" i="11"/>
  <c r="E372" i="11"/>
  <c r="J169" i="11" l="1"/>
  <c r="H169" i="11" s="1"/>
  <c r="B398" i="12"/>
  <c r="F373" i="11"/>
  <c r="V372" i="11"/>
  <c r="U372" i="11"/>
  <c r="C373" i="11"/>
  <c r="B374" i="11"/>
  <c r="E373" i="11"/>
  <c r="D373" i="11"/>
  <c r="S373" i="11" s="1"/>
  <c r="T373" i="11" s="1"/>
  <c r="I169" i="11" l="1"/>
  <c r="B399" i="12"/>
  <c r="F374" i="11"/>
  <c r="V373" i="11"/>
  <c r="U373" i="11"/>
  <c r="C374" i="11"/>
  <c r="D374" i="11"/>
  <c r="S374" i="11" s="1"/>
  <c r="T374" i="11" s="1"/>
  <c r="B375" i="11"/>
  <c r="E374" i="11"/>
  <c r="N169" i="11" l="1"/>
  <c r="K169" i="11"/>
  <c r="G170" i="11" s="1"/>
  <c r="L169" i="11"/>
  <c r="C194" i="12" s="1"/>
  <c r="B400" i="12"/>
  <c r="F375" i="11"/>
  <c r="V374" i="11"/>
  <c r="U374" i="11"/>
  <c r="C375" i="11"/>
  <c r="B376" i="11"/>
  <c r="E375" i="11"/>
  <c r="D375" i="11"/>
  <c r="S375" i="11" s="1"/>
  <c r="T375" i="11" s="1"/>
  <c r="J170" i="11" l="1"/>
  <c r="H170" i="11"/>
  <c r="I170" i="11" s="1"/>
  <c r="N170" i="11" s="1"/>
  <c r="B401" i="12"/>
  <c r="F376" i="11"/>
  <c r="V375" i="11"/>
  <c r="U375" i="11"/>
  <c r="C376" i="11"/>
  <c r="D376" i="11"/>
  <c r="S376" i="11" s="1"/>
  <c r="T376" i="11" s="1"/>
  <c r="B377" i="11"/>
  <c r="E376" i="11"/>
  <c r="K170" i="11" l="1"/>
  <c r="G171" i="11" s="1"/>
  <c r="L170" i="11"/>
  <c r="C195" i="12" s="1"/>
  <c r="B402" i="12"/>
  <c r="F377" i="11"/>
  <c r="V376" i="11"/>
  <c r="U376" i="11"/>
  <c r="C377" i="11"/>
  <c r="B378" i="11"/>
  <c r="E377" i="11"/>
  <c r="D377" i="11"/>
  <c r="S377" i="11" s="1"/>
  <c r="T377" i="11" s="1"/>
  <c r="J171" i="11" l="1"/>
  <c r="H171" i="11" s="1"/>
  <c r="B403" i="12"/>
  <c r="F378" i="11"/>
  <c r="V377" i="11"/>
  <c r="U377" i="11"/>
  <c r="C378" i="11"/>
  <c r="D378" i="11"/>
  <c r="S378" i="11" s="1"/>
  <c r="T378" i="11" s="1"/>
  <c r="B379" i="11"/>
  <c r="E378" i="11"/>
  <c r="I171" i="11" l="1"/>
  <c r="B404" i="12"/>
  <c r="F379" i="11"/>
  <c r="V378" i="11"/>
  <c r="U378" i="11"/>
  <c r="C379" i="11"/>
  <c r="B380" i="11"/>
  <c r="E379" i="11"/>
  <c r="D379" i="11"/>
  <c r="S379" i="11" s="1"/>
  <c r="T379" i="11" s="1"/>
  <c r="N171" i="11" l="1"/>
  <c r="K171" i="11"/>
  <c r="G172" i="11" s="1"/>
  <c r="L171" i="11"/>
  <c r="C196" i="12" s="1"/>
  <c r="B405" i="12"/>
  <c r="F380" i="11"/>
  <c r="V379" i="11"/>
  <c r="U379" i="11"/>
  <c r="C380" i="11"/>
  <c r="D380" i="11"/>
  <c r="S380" i="11" s="1"/>
  <c r="T380" i="11" s="1"/>
  <c r="B381" i="11"/>
  <c r="E380" i="11"/>
  <c r="J172" i="11" l="1"/>
  <c r="H172" i="11" s="1"/>
  <c r="B406" i="12"/>
  <c r="F381" i="11"/>
  <c r="U380" i="11"/>
  <c r="V380" i="11"/>
  <c r="C381" i="11"/>
  <c r="B382" i="11"/>
  <c r="E381" i="11"/>
  <c r="D381" i="11"/>
  <c r="S381" i="11" s="1"/>
  <c r="T381" i="11" s="1"/>
  <c r="I172" i="11" l="1"/>
  <c r="B407" i="12"/>
  <c r="F382" i="11"/>
  <c r="U381" i="11"/>
  <c r="V381" i="11"/>
  <c r="C382" i="11"/>
  <c r="D382" i="11"/>
  <c r="S382" i="11" s="1"/>
  <c r="T382" i="11" s="1"/>
  <c r="B383" i="11"/>
  <c r="E382" i="11"/>
  <c r="N172" i="11" l="1"/>
  <c r="K172" i="11"/>
  <c r="G173" i="11" s="1"/>
  <c r="L172" i="11"/>
  <c r="C197" i="12" s="1"/>
  <c r="B408" i="12"/>
  <c r="F383" i="11"/>
  <c r="U382" i="11"/>
  <c r="V382" i="11"/>
  <c r="C383" i="11"/>
  <c r="B384" i="11"/>
  <c r="E383" i="11"/>
  <c r="D383" i="11"/>
  <c r="S383" i="11" s="1"/>
  <c r="T383" i="11" s="1"/>
  <c r="J173" i="11" l="1"/>
  <c r="H173" i="11" s="1"/>
  <c r="I173" i="11" s="1"/>
  <c r="N173" i="11" s="1"/>
  <c r="B409" i="12"/>
  <c r="F384" i="11"/>
  <c r="V383" i="11"/>
  <c r="U383" i="11"/>
  <c r="C384" i="11"/>
  <c r="D384" i="11"/>
  <c r="S384" i="11" s="1"/>
  <c r="T384" i="11" s="1"/>
  <c r="B385" i="11"/>
  <c r="E384" i="11"/>
  <c r="K173" i="11" l="1"/>
  <c r="G174" i="11" s="1"/>
  <c r="R13" i="9"/>
  <c r="L173" i="11"/>
  <c r="C198" i="12" s="1"/>
  <c r="B410" i="12"/>
  <c r="F385" i="11"/>
  <c r="V384" i="11"/>
  <c r="U384" i="11"/>
  <c r="C385" i="11"/>
  <c r="B386" i="11"/>
  <c r="E385" i="11"/>
  <c r="D385" i="11"/>
  <c r="S385" i="11" s="1"/>
  <c r="T385" i="11" s="1"/>
  <c r="R57" i="9" l="1"/>
  <c r="R34" i="9"/>
  <c r="R55" i="9"/>
  <c r="R54" i="9"/>
  <c r="R19" i="9"/>
  <c r="R14" i="9"/>
  <c r="R58" i="9"/>
  <c r="R18" i="9"/>
  <c r="R56" i="9"/>
  <c r="J174" i="11"/>
  <c r="H174" i="11" s="1"/>
  <c r="I174" i="11" s="1"/>
  <c r="N174" i="11" s="1"/>
  <c r="B411" i="12"/>
  <c r="F386" i="11"/>
  <c r="V385" i="11"/>
  <c r="U385" i="11"/>
  <c r="C386" i="11"/>
  <c r="D386" i="11"/>
  <c r="S386" i="11" s="1"/>
  <c r="T386" i="11" s="1"/>
  <c r="B387" i="11"/>
  <c r="E386" i="11"/>
  <c r="L174" i="11" l="1"/>
  <c r="C199" i="12" s="1"/>
  <c r="K174" i="11"/>
  <c r="G175" i="11" s="1"/>
  <c r="R66" i="9"/>
  <c r="R70" i="9"/>
  <c r="R35" i="9"/>
  <c r="R67" i="9"/>
  <c r="R69" i="9"/>
  <c r="R68" i="9"/>
  <c r="B412" i="12"/>
  <c r="F387" i="11"/>
  <c r="U386" i="11"/>
  <c r="V386" i="11"/>
  <c r="C387" i="11"/>
  <c r="B388" i="11"/>
  <c r="E387" i="11"/>
  <c r="D387" i="11"/>
  <c r="S387" i="11" s="1"/>
  <c r="T387" i="11" s="1"/>
  <c r="J175" i="11" l="1"/>
  <c r="H175" i="11"/>
  <c r="I175" i="11" s="1"/>
  <c r="N175" i="11" s="1"/>
  <c r="B413" i="12"/>
  <c r="F388" i="11"/>
  <c r="U387" i="11"/>
  <c r="V387" i="11"/>
  <c r="C388" i="11"/>
  <c r="D388" i="11"/>
  <c r="S388" i="11" s="1"/>
  <c r="T388" i="11" s="1"/>
  <c r="B389" i="11"/>
  <c r="E388" i="11"/>
  <c r="K175" i="11" l="1"/>
  <c r="G176" i="11" s="1"/>
  <c r="L175" i="11"/>
  <c r="C200" i="12" s="1"/>
  <c r="B414" i="12"/>
  <c r="F389" i="11"/>
  <c r="U388" i="11"/>
  <c r="V388" i="11"/>
  <c r="C389" i="11"/>
  <c r="B390" i="11"/>
  <c r="E389" i="11"/>
  <c r="D389" i="11"/>
  <c r="S389" i="11" s="1"/>
  <c r="T389" i="11" s="1"/>
  <c r="J176" i="11" l="1"/>
  <c r="H176" i="11" s="1"/>
  <c r="B415" i="12"/>
  <c r="F390" i="11"/>
  <c r="V389" i="11"/>
  <c r="U389" i="11"/>
  <c r="C390" i="11"/>
  <c r="D390" i="11"/>
  <c r="S390" i="11" s="1"/>
  <c r="T390" i="11" s="1"/>
  <c r="B391" i="11"/>
  <c r="E390" i="11"/>
  <c r="I176" i="11" l="1"/>
  <c r="B416" i="12"/>
  <c r="F391" i="11"/>
  <c r="V390" i="11"/>
  <c r="U390" i="11"/>
  <c r="C391" i="11"/>
  <c r="B392" i="11"/>
  <c r="E391" i="11"/>
  <c r="D391" i="11"/>
  <c r="S391" i="11" s="1"/>
  <c r="T391" i="11" s="1"/>
  <c r="N176" i="11" l="1"/>
  <c r="K176" i="11"/>
  <c r="G177" i="11" s="1"/>
  <c r="L176" i="11"/>
  <c r="C201" i="12" s="1"/>
  <c r="B417" i="12"/>
  <c r="F392" i="11"/>
  <c r="U391" i="11"/>
  <c r="V391" i="11"/>
  <c r="C392" i="11"/>
  <c r="D392" i="11"/>
  <c r="S392" i="11" s="1"/>
  <c r="T392" i="11" s="1"/>
  <c r="B393" i="11"/>
  <c r="E392" i="11"/>
  <c r="J177" i="11" l="1"/>
  <c r="H177" i="11" s="1"/>
  <c r="B418" i="12"/>
  <c r="F393" i="11"/>
  <c r="V392" i="11"/>
  <c r="U392" i="11"/>
  <c r="C393" i="11"/>
  <c r="B394" i="11"/>
  <c r="E393" i="11"/>
  <c r="D393" i="11"/>
  <c r="S393" i="11" s="1"/>
  <c r="T393" i="11" s="1"/>
  <c r="I177" i="11" l="1"/>
  <c r="B419" i="12"/>
  <c r="F394" i="11"/>
  <c r="U393" i="11"/>
  <c r="V393" i="11"/>
  <c r="C394" i="11"/>
  <c r="D394" i="11"/>
  <c r="S394" i="11" s="1"/>
  <c r="T394" i="11" s="1"/>
  <c r="B395" i="11"/>
  <c r="E394" i="11"/>
  <c r="N177" i="11" l="1"/>
  <c r="K177" i="11"/>
  <c r="G178" i="11" s="1"/>
  <c r="L177" i="11"/>
  <c r="C202" i="12" s="1"/>
  <c r="B420" i="12"/>
  <c r="F395" i="11"/>
  <c r="V394" i="11"/>
  <c r="U394" i="11"/>
  <c r="C395" i="11"/>
  <c r="B396" i="11"/>
  <c r="E395" i="11"/>
  <c r="D395" i="11"/>
  <c r="S395" i="11" s="1"/>
  <c r="T395" i="11" s="1"/>
  <c r="J178" i="11" l="1"/>
  <c r="H178" i="11"/>
  <c r="I178" i="11" s="1"/>
  <c r="N178" i="11" s="1"/>
  <c r="B421" i="12"/>
  <c r="F396" i="11"/>
  <c r="V395" i="11"/>
  <c r="U395" i="11"/>
  <c r="C396" i="11"/>
  <c r="D396" i="11"/>
  <c r="S396" i="11" s="1"/>
  <c r="T396" i="11" s="1"/>
  <c r="B397" i="11"/>
  <c r="E396" i="11"/>
  <c r="K178" i="11" l="1"/>
  <c r="G179" i="11" s="1"/>
  <c r="L178" i="11"/>
  <c r="C203" i="12" s="1"/>
  <c r="B422" i="12"/>
  <c r="F397" i="11"/>
  <c r="U396" i="11"/>
  <c r="V396" i="11"/>
  <c r="C397" i="11"/>
  <c r="B398" i="11"/>
  <c r="E397" i="11"/>
  <c r="D397" i="11"/>
  <c r="S397" i="11" s="1"/>
  <c r="T397" i="11" s="1"/>
  <c r="J179" i="11" l="1"/>
  <c r="H179" i="11" s="1"/>
  <c r="B423" i="12"/>
  <c r="F398" i="11"/>
  <c r="U397" i="11"/>
  <c r="V397" i="11"/>
  <c r="C398" i="11"/>
  <c r="D398" i="11"/>
  <c r="S398" i="11" s="1"/>
  <c r="T398" i="11" s="1"/>
  <c r="B399" i="11"/>
  <c r="E398" i="11"/>
  <c r="I179" i="11" l="1"/>
  <c r="B424" i="12"/>
  <c r="F399" i="11"/>
  <c r="U398" i="11"/>
  <c r="V398" i="11"/>
  <c r="C399" i="11"/>
  <c r="B400" i="11"/>
  <c r="E399" i="11"/>
  <c r="D399" i="11"/>
  <c r="S399" i="11" s="1"/>
  <c r="T399" i="11" s="1"/>
  <c r="N179" i="11" l="1"/>
  <c r="K179" i="11"/>
  <c r="G180" i="11" s="1"/>
  <c r="L179" i="11"/>
  <c r="C204" i="12" s="1"/>
  <c r="B425" i="12"/>
  <c r="F400" i="11"/>
  <c r="V399" i="11"/>
  <c r="U399" i="11"/>
  <c r="C400" i="11"/>
  <c r="D400" i="11"/>
  <c r="S400" i="11" s="1"/>
  <c r="T400" i="11" s="1"/>
  <c r="B401" i="11"/>
  <c r="E400" i="11"/>
  <c r="J180" i="11" l="1"/>
  <c r="H180" i="11" s="1"/>
  <c r="I180" i="11" s="1"/>
  <c r="N180" i="11" s="1"/>
  <c r="B426" i="12"/>
  <c r="F401" i="11"/>
  <c r="V400" i="11"/>
  <c r="U400" i="11"/>
  <c r="C401" i="11"/>
  <c r="B402" i="11"/>
  <c r="E401" i="11"/>
  <c r="D401" i="11"/>
  <c r="S401" i="11" s="1"/>
  <c r="T401" i="11" s="1"/>
  <c r="K180" i="11" l="1"/>
  <c r="G181" i="11" s="1"/>
  <c r="L180" i="11"/>
  <c r="C205" i="12" s="1"/>
  <c r="B427" i="12"/>
  <c r="F402" i="11"/>
  <c r="U401" i="11"/>
  <c r="V401" i="11"/>
  <c r="C402" i="11"/>
  <c r="D402" i="11"/>
  <c r="S402" i="11" s="1"/>
  <c r="T402" i="11" s="1"/>
  <c r="B403" i="11"/>
  <c r="E402" i="11"/>
  <c r="J181" i="11" l="1"/>
  <c r="H181" i="11" s="1"/>
  <c r="B428" i="12"/>
  <c r="F403" i="11"/>
  <c r="U402" i="11"/>
  <c r="V402" i="11"/>
  <c r="C403" i="11"/>
  <c r="B404" i="11"/>
  <c r="E403" i="11"/>
  <c r="D403" i="11"/>
  <c r="S403" i="11" s="1"/>
  <c r="T403" i="11" s="1"/>
  <c r="I181" i="11" l="1"/>
  <c r="B429" i="12"/>
  <c r="F404" i="11"/>
  <c r="V403" i="11"/>
  <c r="U403" i="11"/>
  <c r="C404" i="11"/>
  <c r="D404" i="11"/>
  <c r="S404" i="11" s="1"/>
  <c r="T404" i="11" s="1"/>
  <c r="B405" i="11"/>
  <c r="E404" i="11"/>
  <c r="N181" i="11" l="1"/>
  <c r="K181" i="11"/>
  <c r="G182" i="11" s="1"/>
  <c r="L181" i="11"/>
  <c r="C206" i="12" s="1"/>
  <c r="B430" i="12"/>
  <c r="F405" i="11"/>
  <c r="V404" i="11"/>
  <c r="U404" i="11"/>
  <c r="C405" i="11"/>
  <c r="B406" i="11"/>
  <c r="E405" i="11"/>
  <c r="D405" i="11"/>
  <c r="S405" i="11" s="1"/>
  <c r="T405" i="11" s="1"/>
  <c r="J182" i="11" l="1"/>
  <c r="H182" i="11" s="1"/>
  <c r="B431" i="12"/>
  <c r="F406" i="11"/>
  <c r="V405" i="11"/>
  <c r="U405" i="11"/>
  <c r="C406" i="11"/>
  <c r="D406" i="11"/>
  <c r="S406" i="11" s="1"/>
  <c r="T406" i="11" s="1"/>
  <c r="B407" i="11"/>
  <c r="E406" i="11"/>
  <c r="I182" i="11" l="1"/>
  <c r="B432" i="12"/>
  <c r="F407" i="11"/>
  <c r="V406" i="11"/>
  <c r="U406" i="11"/>
  <c r="C407" i="11"/>
  <c r="B408" i="11"/>
  <c r="E407" i="11"/>
  <c r="D407" i="11"/>
  <c r="S407" i="11" s="1"/>
  <c r="T407" i="11" s="1"/>
  <c r="N182" i="11" l="1"/>
  <c r="K182" i="11"/>
  <c r="G183" i="11" s="1"/>
  <c r="L182" i="11"/>
  <c r="C207" i="12" s="1"/>
  <c r="B433" i="12"/>
  <c r="F408" i="11"/>
  <c r="V407" i="11"/>
  <c r="U407" i="11"/>
  <c r="C408" i="11"/>
  <c r="D408" i="11"/>
  <c r="S408" i="11" s="1"/>
  <c r="T408" i="11" s="1"/>
  <c r="B409" i="11"/>
  <c r="E408" i="11"/>
  <c r="J183" i="11" l="1"/>
  <c r="H183" i="11" s="1"/>
  <c r="B434" i="12"/>
  <c r="F409" i="11"/>
  <c r="V408" i="11"/>
  <c r="U408" i="11"/>
  <c r="C409" i="11"/>
  <c r="B410" i="11"/>
  <c r="E409" i="11"/>
  <c r="D409" i="11"/>
  <c r="S409" i="11" s="1"/>
  <c r="T409" i="11" s="1"/>
  <c r="I183" i="11" l="1"/>
  <c r="B435" i="12"/>
  <c r="F410" i="11"/>
  <c r="U409" i="11"/>
  <c r="V409" i="11"/>
  <c r="C410" i="11"/>
  <c r="D410" i="11"/>
  <c r="S410" i="11" s="1"/>
  <c r="T410" i="11" s="1"/>
  <c r="B411" i="11"/>
  <c r="E410" i="11"/>
  <c r="N183" i="11" l="1"/>
  <c r="K183" i="11"/>
  <c r="G184" i="11" s="1"/>
  <c r="L183" i="11"/>
  <c r="C208" i="12" s="1"/>
  <c r="B436" i="12"/>
  <c r="F411" i="11"/>
  <c r="V410" i="11"/>
  <c r="U410" i="11"/>
  <c r="C411" i="11"/>
  <c r="B412" i="11"/>
  <c r="E411" i="11"/>
  <c r="D411" i="11"/>
  <c r="S411" i="11" s="1"/>
  <c r="T411" i="11" s="1"/>
  <c r="J184" i="11" l="1"/>
  <c r="H184" i="11" s="1"/>
  <c r="B437" i="12"/>
  <c r="F412" i="11"/>
  <c r="V411" i="11"/>
  <c r="U411" i="11"/>
  <c r="C412" i="11"/>
  <c r="D412" i="11"/>
  <c r="S412" i="11" s="1"/>
  <c r="T412" i="11" s="1"/>
  <c r="B413" i="11"/>
  <c r="E412" i="11"/>
  <c r="I184" i="11" l="1"/>
  <c r="B438" i="12"/>
  <c r="F413" i="11"/>
  <c r="U412" i="11"/>
  <c r="V412" i="11"/>
  <c r="C413" i="11"/>
  <c r="B414" i="11"/>
  <c r="E413" i="11"/>
  <c r="D413" i="11"/>
  <c r="S413" i="11" s="1"/>
  <c r="T413" i="11" s="1"/>
  <c r="N184" i="11" l="1"/>
  <c r="K184" i="11"/>
  <c r="G185" i="11" s="1"/>
  <c r="L184" i="11"/>
  <c r="C209" i="12" s="1"/>
  <c r="B439" i="12"/>
  <c r="F414" i="11"/>
  <c r="U413" i="11"/>
  <c r="V413" i="11"/>
  <c r="D414" i="11"/>
  <c r="S414" i="11" s="1"/>
  <c r="T414" i="11" s="1"/>
  <c r="C414" i="11"/>
  <c r="B415" i="11"/>
  <c r="E414" i="11"/>
  <c r="J185" i="11" l="1"/>
  <c r="H185" i="11" s="1"/>
  <c r="S13" i="9" s="1"/>
  <c r="B440" i="12"/>
  <c r="F415" i="11"/>
  <c r="U414" i="11"/>
  <c r="V414" i="11"/>
  <c r="C415" i="11"/>
  <c r="B416" i="11"/>
  <c r="E415" i="11"/>
  <c r="D415" i="11"/>
  <c r="S415" i="11" s="1"/>
  <c r="T415" i="11" s="1"/>
  <c r="S54" i="9" l="1"/>
  <c r="S18" i="9"/>
  <c r="S14" i="9"/>
  <c r="S58" i="9"/>
  <c r="S34" i="9"/>
  <c r="S55" i="9"/>
  <c r="S56" i="9"/>
  <c r="S19" i="9"/>
  <c r="S57" i="9"/>
  <c r="I185" i="11"/>
  <c r="B441" i="12"/>
  <c r="F416" i="11"/>
  <c r="V415" i="11"/>
  <c r="U415" i="11"/>
  <c r="C416" i="11"/>
  <c r="D416" i="11"/>
  <c r="S416" i="11" s="1"/>
  <c r="T416" i="11" s="1"/>
  <c r="B417" i="11"/>
  <c r="E416" i="11"/>
  <c r="N185" i="11" l="1"/>
  <c r="K185" i="11"/>
  <c r="G186" i="11" s="1"/>
  <c r="L185" i="11"/>
  <c r="C210" i="12" s="1"/>
  <c r="S70" i="9"/>
  <c r="S69" i="9"/>
  <c r="S66" i="9"/>
  <c r="S68" i="9"/>
  <c r="S67" i="9"/>
  <c r="S35" i="9"/>
  <c r="B442" i="12"/>
  <c r="F417" i="11"/>
  <c r="V416" i="11"/>
  <c r="U416" i="11"/>
  <c r="C417" i="11"/>
  <c r="B418" i="11"/>
  <c r="E417" i="11"/>
  <c r="D417" i="11"/>
  <c r="S417" i="11" s="1"/>
  <c r="T417" i="11" s="1"/>
  <c r="J186" i="11" l="1"/>
  <c r="H186" i="11" s="1"/>
  <c r="B443" i="12"/>
  <c r="F418" i="11"/>
  <c r="V417" i="11"/>
  <c r="U417" i="11"/>
  <c r="C418" i="11"/>
  <c r="D418" i="11"/>
  <c r="S418" i="11" s="1"/>
  <c r="T418" i="11" s="1"/>
  <c r="B419" i="11"/>
  <c r="E418" i="11"/>
  <c r="I186" i="11" l="1"/>
  <c r="B444" i="12"/>
  <c r="F419" i="11"/>
  <c r="U418" i="11"/>
  <c r="V418" i="11"/>
  <c r="C419" i="11"/>
  <c r="B420" i="11"/>
  <c r="E419" i="11"/>
  <c r="D419" i="11"/>
  <c r="S419" i="11" s="1"/>
  <c r="T419" i="11" s="1"/>
  <c r="N186" i="11" l="1"/>
  <c r="K186" i="11"/>
  <c r="G187" i="11" s="1"/>
  <c r="L186" i="11"/>
  <c r="C211" i="12" s="1"/>
  <c r="B445" i="12"/>
  <c r="F420" i="11"/>
  <c r="U419" i="11"/>
  <c r="V419" i="11"/>
  <c r="C420" i="11"/>
  <c r="D420" i="11"/>
  <c r="S420" i="11" s="1"/>
  <c r="T420" i="11" s="1"/>
  <c r="B421" i="11"/>
  <c r="E420" i="11"/>
  <c r="J187" i="11" l="1"/>
  <c r="H187" i="11" s="1"/>
  <c r="B446" i="12"/>
  <c r="F421" i="11"/>
  <c r="V420" i="11"/>
  <c r="U420" i="11"/>
  <c r="C421" i="11"/>
  <c r="B422" i="11"/>
  <c r="E421" i="11"/>
  <c r="D421" i="11"/>
  <c r="S421" i="11" s="1"/>
  <c r="T421" i="11" s="1"/>
  <c r="I187" i="11" l="1"/>
  <c r="B447" i="12"/>
  <c r="F422" i="11"/>
  <c r="V421" i="11"/>
  <c r="U421" i="11"/>
  <c r="C422" i="11"/>
  <c r="D422" i="11"/>
  <c r="S422" i="11" s="1"/>
  <c r="T422" i="11" s="1"/>
  <c r="B423" i="11"/>
  <c r="E422" i="11"/>
  <c r="N187" i="11" l="1"/>
  <c r="K187" i="11"/>
  <c r="G188" i="11" s="1"/>
  <c r="L187" i="11"/>
  <c r="C212" i="12" s="1"/>
  <c r="B448" i="12"/>
  <c r="F423" i="11"/>
  <c r="V422" i="11"/>
  <c r="U422" i="11"/>
  <c r="C423" i="11"/>
  <c r="B424" i="11"/>
  <c r="E423" i="11"/>
  <c r="D423" i="11"/>
  <c r="S423" i="11" s="1"/>
  <c r="T423" i="11" s="1"/>
  <c r="J188" i="11" l="1"/>
  <c r="H188" i="11" s="1"/>
  <c r="B449" i="12"/>
  <c r="F424" i="11"/>
  <c r="V423" i="11"/>
  <c r="U423" i="11"/>
  <c r="C424" i="11"/>
  <c r="D424" i="11"/>
  <c r="S424" i="11" s="1"/>
  <c r="T424" i="11" s="1"/>
  <c r="B425" i="11"/>
  <c r="E424" i="11"/>
  <c r="I188" i="11" l="1"/>
  <c r="B450" i="12"/>
  <c r="F425" i="11"/>
  <c r="U424" i="11"/>
  <c r="V424" i="11"/>
  <c r="C425" i="11"/>
  <c r="B426" i="11"/>
  <c r="E425" i="11"/>
  <c r="D425" i="11"/>
  <c r="S425" i="11" s="1"/>
  <c r="T425" i="11" s="1"/>
  <c r="N188" i="11" l="1"/>
  <c r="K188" i="11"/>
  <c r="G189" i="11" s="1"/>
  <c r="L188" i="11"/>
  <c r="C213" i="12" s="1"/>
  <c r="B451" i="12"/>
  <c r="F426" i="11"/>
  <c r="V425" i="11"/>
  <c r="U425" i="11"/>
  <c r="C426" i="11"/>
  <c r="D426" i="11"/>
  <c r="S426" i="11" s="1"/>
  <c r="T426" i="11" s="1"/>
  <c r="B427" i="11"/>
  <c r="E426" i="11"/>
  <c r="J189" i="11" l="1"/>
  <c r="H189" i="11" s="1"/>
  <c r="B452" i="12"/>
  <c r="F427" i="11"/>
  <c r="V426" i="11"/>
  <c r="U426" i="11"/>
  <c r="C427" i="11"/>
  <c r="B428" i="11"/>
  <c r="E427" i="11"/>
  <c r="D427" i="11"/>
  <c r="S427" i="11" s="1"/>
  <c r="T427" i="11" s="1"/>
  <c r="I189" i="11" l="1"/>
  <c r="B453" i="12"/>
  <c r="F428" i="11"/>
  <c r="V427" i="11"/>
  <c r="U427" i="11"/>
  <c r="C428" i="11"/>
  <c r="D428" i="11"/>
  <c r="S428" i="11" s="1"/>
  <c r="T428" i="11" s="1"/>
  <c r="B429" i="11"/>
  <c r="E428" i="11"/>
  <c r="N189" i="11" l="1"/>
  <c r="K189" i="11"/>
  <c r="G190" i="11" s="1"/>
  <c r="L189" i="11"/>
  <c r="C214" i="12" s="1"/>
  <c r="B454" i="12"/>
  <c r="F429" i="11"/>
  <c r="V428" i="11"/>
  <c r="U428" i="11"/>
  <c r="C429" i="11"/>
  <c r="B430" i="11"/>
  <c r="E429" i="11"/>
  <c r="D429" i="11"/>
  <c r="S429" i="11" s="1"/>
  <c r="T429" i="11" s="1"/>
  <c r="J190" i="11" l="1"/>
  <c r="H190" i="11" s="1"/>
  <c r="B455" i="12"/>
  <c r="F430" i="11"/>
  <c r="U429" i="11"/>
  <c r="V429" i="11"/>
  <c r="C430" i="11"/>
  <c r="D430" i="11"/>
  <c r="S430" i="11" s="1"/>
  <c r="T430" i="11" s="1"/>
  <c r="B431" i="11"/>
  <c r="E430" i="11"/>
  <c r="I190" i="11" l="1"/>
  <c r="B456" i="12"/>
  <c r="F431" i="11"/>
  <c r="U430" i="11"/>
  <c r="V430" i="11"/>
  <c r="C431" i="11"/>
  <c r="B432" i="11"/>
  <c r="E431" i="11"/>
  <c r="D431" i="11"/>
  <c r="S431" i="11" s="1"/>
  <c r="T431" i="11" s="1"/>
  <c r="N190" i="11" l="1"/>
  <c r="K190" i="11"/>
  <c r="G191" i="11" s="1"/>
  <c r="L190" i="11"/>
  <c r="C215" i="12" s="1"/>
  <c r="B457" i="12"/>
  <c r="F432" i="11"/>
  <c r="U431" i="11"/>
  <c r="V431" i="11"/>
  <c r="C432" i="11"/>
  <c r="D432" i="11"/>
  <c r="S432" i="11" s="1"/>
  <c r="T432" i="11" s="1"/>
  <c r="B433" i="11"/>
  <c r="E432" i="11"/>
  <c r="J191" i="11" l="1"/>
  <c r="H191" i="11" s="1"/>
  <c r="B458" i="12"/>
  <c r="F433" i="11"/>
  <c r="V432" i="11"/>
  <c r="U432" i="11"/>
  <c r="C433" i="11"/>
  <c r="B434" i="11"/>
  <c r="E433" i="11"/>
  <c r="D433" i="11"/>
  <c r="S433" i="11" s="1"/>
  <c r="T433" i="11" s="1"/>
  <c r="I191" i="11" l="1"/>
  <c r="B459" i="12"/>
  <c r="F434" i="11"/>
  <c r="U433" i="11"/>
  <c r="V433" i="11"/>
  <c r="C434" i="11"/>
  <c r="D434" i="11"/>
  <c r="S434" i="11" s="1"/>
  <c r="T434" i="11" s="1"/>
  <c r="B435" i="11"/>
  <c r="E434" i="11"/>
  <c r="N191" i="11" l="1"/>
  <c r="K191" i="11"/>
  <c r="G192" i="11" s="1"/>
  <c r="L191" i="11"/>
  <c r="C216" i="12" s="1"/>
  <c r="B460" i="12"/>
  <c r="F435" i="11"/>
  <c r="U434" i="11"/>
  <c r="V434" i="11"/>
  <c r="C435" i="11"/>
  <c r="B436" i="11"/>
  <c r="E435" i="11"/>
  <c r="D435" i="11"/>
  <c r="S435" i="11" s="1"/>
  <c r="T435" i="11" s="1"/>
  <c r="J192" i="11" l="1"/>
  <c r="H192" i="11" s="1"/>
  <c r="B461" i="12"/>
  <c r="F436" i="11"/>
  <c r="V435" i="11"/>
  <c r="U435" i="11"/>
  <c r="C436" i="11"/>
  <c r="D436" i="11"/>
  <c r="S436" i="11" s="1"/>
  <c r="T436" i="11" s="1"/>
  <c r="B437" i="11"/>
  <c r="E436" i="11"/>
  <c r="I192" i="11" l="1"/>
  <c r="B462" i="12"/>
  <c r="F437" i="11"/>
  <c r="V436" i="11"/>
  <c r="U436" i="11"/>
  <c r="C437" i="11"/>
  <c r="B438" i="11"/>
  <c r="E437" i="11"/>
  <c r="D437" i="11"/>
  <c r="S437" i="11" s="1"/>
  <c r="T437" i="11" s="1"/>
  <c r="N192" i="11" l="1"/>
  <c r="K192" i="11"/>
  <c r="G193" i="11" s="1"/>
  <c r="L192" i="11"/>
  <c r="C217" i="12" s="1"/>
  <c r="B463" i="12"/>
  <c r="F438" i="11"/>
  <c r="V437" i="11"/>
  <c r="U437" i="11"/>
  <c r="C438" i="11"/>
  <c r="D438" i="11"/>
  <c r="S438" i="11" s="1"/>
  <c r="T438" i="11" s="1"/>
  <c r="B439" i="11"/>
  <c r="E438" i="11"/>
  <c r="J193" i="11" l="1"/>
  <c r="H193" i="11" s="1"/>
  <c r="I193" i="11" s="1"/>
  <c r="N193" i="11" s="1"/>
  <c r="B464" i="12"/>
  <c r="F439" i="11"/>
  <c r="V438" i="11"/>
  <c r="U438" i="11"/>
  <c r="C439" i="11"/>
  <c r="B440" i="11"/>
  <c r="E439" i="11"/>
  <c r="D439" i="11"/>
  <c r="S439" i="11" s="1"/>
  <c r="T439" i="11" s="1"/>
  <c r="K193" i="11" l="1"/>
  <c r="G194" i="11" s="1"/>
  <c r="L193" i="11"/>
  <c r="C218" i="12" s="1"/>
  <c r="B465" i="12"/>
  <c r="F440" i="11"/>
  <c r="U439" i="11"/>
  <c r="V439" i="11"/>
  <c r="C440" i="11"/>
  <c r="D440" i="11"/>
  <c r="S440" i="11" s="1"/>
  <c r="T440" i="11" s="1"/>
  <c r="B441" i="11"/>
  <c r="E440" i="11"/>
  <c r="J194" i="11" l="1"/>
  <c r="H194" i="11" s="1"/>
  <c r="I194" i="11" s="1"/>
  <c r="N194" i="11" s="1"/>
  <c r="B466" i="12"/>
  <c r="F441" i="11"/>
  <c r="V440" i="11"/>
  <c r="U440" i="11"/>
  <c r="C441" i="11"/>
  <c r="B442" i="11"/>
  <c r="E441" i="11"/>
  <c r="D441" i="11"/>
  <c r="S441" i="11" s="1"/>
  <c r="T441" i="11" s="1"/>
  <c r="K194" i="11" l="1"/>
  <c r="G195" i="11" s="1"/>
  <c r="L194" i="11"/>
  <c r="C219" i="12" s="1"/>
  <c r="B467" i="12"/>
  <c r="F442" i="11"/>
  <c r="V441" i="11"/>
  <c r="U441" i="11"/>
  <c r="C442" i="11"/>
  <c r="D442" i="11"/>
  <c r="S442" i="11" s="1"/>
  <c r="T442" i="11" s="1"/>
  <c r="B443" i="11"/>
  <c r="E442" i="11"/>
  <c r="J195" i="11" l="1"/>
  <c r="H195" i="11" s="1"/>
  <c r="I195" i="11" s="1"/>
  <c r="N195" i="11" s="1"/>
  <c r="B468" i="12"/>
  <c r="F443" i="11"/>
  <c r="V442" i="11"/>
  <c r="U442" i="11"/>
  <c r="C443" i="11"/>
  <c r="B444" i="11"/>
  <c r="E443" i="11"/>
  <c r="D443" i="11"/>
  <c r="S443" i="11" s="1"/>
  <c r="T443" i="11" s="1"/>
  <c r="K195" i="11" l="1"/>
  <c r="G196" i="11" s="1"/>
  <c r="L195" i="11"/>
  <c r="C220" i="12" s="1"/>
  <c r="B469" i="12"/>
  <c r="F444" i="11"/>
  <c r="V443" i="11"/>
  <c r="U443" i="11"/>
  <c r="C444" i="11"/>
  <c r="D444" i="11"/>
  <c r="S444" i="11" s="1"/>
  <c r="T444" i="11" s="1"/>
  <c r="B445" i="11"/>
  <c r="E444" i="11"/>
  <c r="J196" i="11" l="1"/>
  <c r="H196" i="11" s="1"/>
  <c r="B470" i="12"/>
  <c r="F445" i="11"/>
  <c r="U444" i="11"/>
  <c r="V444" i="11"/>
  <c r="C445" i="11"/>
  <c r="B446" i="11"/>
  <c r="E445" i="11"/>
  <c r="D445" i="11"/>
  <c r="S445" i="11" s="1"/>
  <c r="T445" i="11" s="1"/>
  <c r="I196" i="11" l="1"/>
  <c r="B471" i="12"/>
  <c r="F446" i="11"/>
  <c r="U445" i="11"/>
  <c r="V445" i="11"/>
  <c r="C446" i="11"/>
  <c r="D446" i="11"/>
  <c r="S446" i="11" s="1"/>
  <c r="T446" i="11" s="1"/>
  <c r="B447" i="11"/>
  <c r="E446" i="11"/>
  <c r="N196" i="11" l="1"/>
  <c r="K196" i="11"/>
  <c r="G197" i="11" s="1"/>
  <c r="L196" i="11"/>
  <c r="C221" i="12" s="1"/>
  <c r="B472" i="12"/>
  <c r="F447" i="11"/>
  <c r="U446" i="11"/>
  <c r="V446" i="11"/>
  <c r="C447" i="11"/>
  <c r="B448" i="11"/>
  <c r="E447" i="11"/>
  <c r="D447" i="11"/>
  <c r="S447" i="11" s="1"/>
  <c r="T447" i="11" s="1"/>
  <c r="J197" i="11" l="1"/>
  <c r="H197" i="11" s="1"/>
  <c r="B473" i="12"/>
  <c r="F448" i="11"/>
  <c r="V447" i="11"/>
  <c r="U447" i="11"/>
  <c r="C448" i="11"/>
  <c r="D448" i="11"/>
  <c r="S448" i="11" s="1"/>
  <c r="T448" i="11" s="1"/>
  <c r="B449" i="11"/>
  <c r="E448" i="11"/>
  <c r="I197" i="11" l="1"/>
  <c r="B474" i="12"/>
  <c r="F449" i="11"/>
  <c r="V448" i="11"/>
  <c r="U448" i="11"/>
  <c r="C449" i="11"/>
  <c r="B450" i="11"/>
  <c r="E449" i="11"/>
  <c r="D449" i="11"/>
  <c r="S449" i="11" s="1"/>
  <c r="T449" i="11" s="1"/>
  <c r="N197" i="11" l="1"/>
  <c r="K197" i="11"/>
  <c r="G198" i="11" s="1"/>
  <c r="L197" i="11"/>
  <c r="C222" i="12" s="1"/>
  <c r="B475" i="12"/>
  <c r="F450" i="11"/>
  <c r="V449" i="11"/>
  <c r="U449" i="11"/>
  <c r="C450" i="11"/>
  <c r="D450" i="11"/>
  <c r="S450" i="11" s="1"/>
  <c r="T450" i="11" s="1"/>
  <c r="B451" i="11"/>
  <c r="E450" i="11"/>
  <c r="J198" i="11" l="1"/>
  <c r="H198" i="11" s="1"/>
  <c r="I198" i="11" s="1"/>
  <c r="N198" i="11" s="1"/>
  <c r="B476" i="12"/>
  <c r="F451" i="11"/>
  <c r="U450" i="11"/>
  <c r="V450" i="11"/>
  <c r="C451" i="11"/>
  <c r="B452" i="11"/>
  <c r="E451" i="11"/>
  <c r="D451" i="11"/>
  <c r="S451" i="11" s="1"/>
  <c r="T451" i="11" s="1"/>
  <c r="K198" i="11" l="1"/>
  <c r="G199" i="11" s="1"/>
  <c r="L198" i="11"/>
  <c r="C223" i="12" s="1"/>
  <c r="B477" i="12"/>
  <c r="F452" i="11"/>
  <c r="U451" i="11"/>
  <c r="V451" i="11"/>
  <c r="C452" i="11"/>
  <c r="D452" i="11"/>
  <c r="S452" i="11" s="1"/>
  <c r="T452" i="11" s="1"/>
  <c r="B453" i="11"/>
  <c r="E452" i="11"/>
  <c r="J199" i="11" l="1"/>
  <c r="H199" i="11" s="1"/>
  <c r="I199" i="11" s="1"/>
  <c r="N199" i="11" s="1"/>
  <c r="B478" i="12"/>
  <c r="F453" i="11"/>
  <c r="U452" i="11"/>
  <c r="V452" i="11"/>
  <c r="C453" i="11"/>
  <c r="B454" i="11"/>
  <c r="E453" i="11"/>
  <c r="D453" i="11"/>
  <c r="S453" i="11" s="1"/>
  <c r="T453" i="11" s="1"/>
  <c r="K199" i="11" l="1"/>
  <c r="G200" i="11" s="1"/>
  <c r="L199" i="11"/>
  <c r="C224" i="12" s="1"/>
  <c r="B479" i="12"/>
  <c r="F454" i="11"/>
  <c r="V453" i="11"/>
  <c r="U453" i="11"/>
  <c r="C454" i="11"/>
  <c r="D454" i="11"/>
  <c r="S454" i="11" s="1"/>
  <c r="T454" i="11" s="1"/>
  <c r="B455" i="11"/>
  <c r="E454" i="11"/>
  <c r="J200" i="11" l="1"/>
  <c r="H200" i="11" s="1"/>
  <c r="B480" i="12"/>
  <c r="F455" i="11"/>
  <c r="V454" i="11"/>
  <c r="U454" i="11"/>
  <c r="C455" i="11"/>
  <c r="B456" i="11"/>
  <c r="E455" i="11"/>
  <c r="D455" i="11"/>
  <c r="S455" i="11" s="1"/>
  <c r="T455" i="11" s="1"/>
  <c r="I200" i="11" l="1"/>
  <c r="B481" i="12"/>
  <c r="F456" i="11"/>
  <c r="V455" i="11"/>
  <c r="U455" i="11"/>
  <c r="C456" i="11"/>
  <c r="D456" i="11"/>
  <c r="S456" i="11" s="1"/>
  <c r="T456" i="11" s="1"/>
  <c r="B457" i="11"/>
  <c r="E456" i="11"/>
  <c r="N200" i="11" l="1"/>
  <c r="K200" i="11"/>
  <c r="G201" i="11" s="1"/>
  <c r="L200" i="11"/>
  <c r="C225" i="12" s="1"/>
  <c r="B482" i="12"/>
  <c r="F457" i="11"/>
  <c r="U456" i="11"/>
  <c r="V456" i="11"/>
  <c r="C457" i="11"/>
  <c r="B458" i="11"/>
  <c r="E457" i="11"/>
  <c r="D457" i="11"/>
  <c r="S457" i="11" s="1"/>
  <c r="T457" i="11" s="1"/>
  <c r="J201" i="11" l="1"/>
  <c r="H201" i="11" s="1"/>
  <c r="I201" i="11" s="1"/>
  <c r="N201" i="11" s="1"/>
  <c r="B483" i="12"/>
  <c r="F458" i="11"/>
  <c r="V457" i="11"/>
  <c r="U457" i="11"/>
  <c r="D458" i="11"/>
  <c r="S458" i="11" s="1"/>
  <c r="T458" i="11" s="1"/>
  <c r="C458" i="11"/>
  <c r="B459" i="11"/>
  <c r="E458" i="11"/>
  <c r="K201" i="11" l="1"/>
  <c r="G202" i="11" s="1"/>
  <c r="L201" i="11"/>
  <c r="C226" i="12" s="1"/>
  <c r="B484" i="12"/>
  <c r="F459" i="11"/>
  <c r="V458" i="11"/>
  <c r="U458" i="11"/>
  <c r="C459" i="11"/>
  <c r="B460" i="11"/>
  <c r="E459" i="11"/>
  <c r="D459" i="11"/>
  <c r="S459" i="11" s="1"/>
  <c r="T459" i="11" s="1"/>
  <c r="J202" i="11" l="1"/>
  <c r="H202" i="11" s="1"/>
  <c r="I202" i="11" s="1"/>
  <c r="N202" i="11" s="1"/>
  <c r="B485" i="12"/>
  <c r="F460" i="11"/>
  <c r="V459" i="11"/>
  <c r="U459" i="11"/>
  <c r="C460" i="11"/>
  <c r="D460" i="11"/>
  <c r="S460" i="11" s="1"/>
  <c r="T460" i="11" s="1"/>
  <c r="B461" i="11"/>
  <c r="E460" i="11"/>
  <c r="K202" i="11" l="1"/>
  <c r="G203" i="11" s="1"/>
  <c r="L202" i="11"/>
  <c r="C227" i="12" s="1"/>
  <c r="B486" i="12"/>
  <c r="F461" i="11"/>
  <c r="U460" i="11"/>
  <c r="V460" i="11"/>
  <c r="C461" i="11"/>
  <c r="B462" i="11"/>
  <c r="E461" i="11"/>
  <c r="D461" i="11"/>
  <c r="S461" i="11" s="1"/>
  <c r="T461" i="11" s="1"/>
  <c r="J203" i="11" l="1"/>
  <c r="H203" i="11"/>
  <c r="I203" i="11" s="1"/>
  <c r="N203" i="11" s="1"/>
  <c r="B487" i="12"/>
  <c r="F462" i="11"/>
  <c r="U461" i="11"/>
  <c r="V461" i="11"/>
  <c r="C462" i="11"/>
  <c r="D462" i="11"/>
  <c r="S462" i="11" s="1"/>
  <c r="T462" i="11" s="1"/>
  <c r="B463" i="11"/>
  <c r="E462" i="11"/>
  <c r="K203" i="11" l="1"/>
  <c r="G204" i="11" s="1"/>
  <c r="L203" i="11"/>
  <c r="C228" i="12" s="1"/>
  <c r="B488" i="12"/>
  <c r="F463" i="11"/>
  <c r="U462" i="11"/>
  <c r="V462" i="11"/>
  <c r="C463" i="11"/>
  <c r="B464" i="11"/>
  <c r="E463" i="11"/>
  <c r="D463" i="11"/>
  <c r="S463" i="11" s="1"/>
  <c r="T463" i="11" s="1"/>
  <c r="J204" i="11" l="1"/>
  <c r="H204" i="11" s="1"/>
  <c r="B489" i="12"/>
  <c r="F464" i="11"/>
  <c r="U463" i="11"/>
  <c r="V463" i="11"/>
  <c r="C464" i="11"/>
  <c r="D464" i="11"/>
  <c r="S464" i="11" s="1"/>
  <c r="T464" i="11" s="1"/>
  <c r="B465" i="11"/>
  <c r="E464" i="11"/>
  <c r="I204" i="11" l="1"/>
  <c r="B490" i="12"/>
  <c r="F465" i="11"/>
  <c r="V464" i="11"/>
  <c r="U464" i="11"/>
  <c r="C465" i="11"/>
  <c r="B466" i="11"/>
  <c r="E465" i="11"/>
  <c r="D465" i="11"/>
  <c r="S465" i="11" s="1"/>
  <c r="T465" i="11" s="1"/>
  <c r="N204" i="11" l="1"/>
  <c r="K204" i="11"/>
  <c r="G205" i="11" s="1"/>
  <c r="L204" i="11"/>
  <c r="C229" i="12" s="1"/>
  <c r="B491" i="12"/>
  <c r="F466" i="11"/>
  <c r="V465" i="11"/>
  <c r="U465" i="11"/>
  <c r="C466" i="11"/>
  <c r="D466" i="11"/>
  <c r="S466" i="11" s="1"/>
  <c r="T466" i="11" s="1"/>
  <c r="B467" i="11"/>
  <c r="E466" i="11"/>
  <c r="J205" i="11" l="1"/>
  <c r="H205" i="11" s="1"/>
  <c r="I205" i="11" s="1"/>
  <c r="N205" i="11" s="1"/>
  <c r="B492" i="12"/>
  <c r="F467" i="11"/>
  <c r="U466" i="11"/>
  <c r="V466" i="11"/>
  <c r="C467" i="11"/>
  <c r="B468" i="11"/>
  <c r="E467" i="11"/>
  <c r="D467" i="11"/>
  <c r="S467" i="11" s="1"/>
  <c r="T467" i="11" s="1"/>
  <c r="K205" i="11" l="1"/>
  <c r="G206" i="11" s="1"/>
  <c r="L205" i="11"/>
  <c r="C230" i="12" s="1"/>
  <c r="B493" i="12"/>
  <c r="F468" i="11"/>
  <c r="V467" i="11"/>
  <c r="U467" i="11"/>
  <c r="D468" i="11"/>
  <c r="S468" i="11" s="1"/>
  <c r="T468" i="11" s="1"/>
  <c r="C468" i="11"/>
  <c r="B469" i="11"/>
  <c r="E468" i="11"/>
  <c r="J206" i="11" l="1"/>
  <c r="H206" i="11" s="1"/>
  <c r="B494" i="12"/>
  <c r="F469" i="11"/>
  <c r="V468" i="11"/>
  <c r="U468" i="11"/>
  <c r="C469" i="11"/>
  <c r="B470" i="11"/>
  <c r="E469" i="11"/>
  <c r="D469" i="11"/>
  <c r="S469" i="11" s="1"/>
  <c r="T469" i="11" s="1"/>
  <c r="I206" i="11" l="1"/>
  <c r="B495" i="12"/>
  <c r="F470" i="11"/>
  <c r="V469" i="11"/>
  <c r="U469" i="11"/>
  <c r="C470" i="11"/>
  <c r="D470" i="11"/>
  <c r="S470" i="11" s="1"/>
  <c r="T470" i="11" s="1"/>
  <c r="B471" i="11"/>
  <c r="E470" i="11"/>
  <c r="N206" i="11" l="1"/>
  <c r="K206" i="11"/>
  <c r="G207" i="11" s="1"/>
  <c r="L206" i="11"/>
  <c r="C231" i="12" s="1"/>
  <c r="B496" i="12"/>
  <c r="F471" i="11"/>
  <c r="V470" i="11"/>
  <c r="U470" i="11"/>
  <c r="C471" i="11"/>
  <c r="B472" i="11"/>
  <c r="E471" i="11"/>
  <c r="D471" i="11"/>
  <c r="S471" i="11" s="1"/>
  <c r="T471" i="11" s="1"/>
  <c r="J207" i="11" l="1"/>
  <c r="H207" i="11" s="1"/>
  <c r="I207" i="11" s="1"/>
  <c r="N207" i="11" s="1"/>
  <c r="B497" i="12"/>
  <c r="F472" i="11"/>
  <c r="V471" i="11"/>
  <c r="U471" i="11"/>
  <c r="C472" i="11"/>
  <c r="D472" i="11"/>
  <c r="S472" i="11" s="1"/>
  <c r="T472" i="11" s="1"/>
  <c r="B473" i="11"/>
  <c r="E472" i="11"/>
  <c r="K207" i="11" l="1"/>
  <c r="G208" i="11" s="1"/>
  <c r="L207" i="11"/>
  <c r="C232" i="12" s="1"/>
  <c r="B498" i="12"/>
  <c r="F473" i="11"/>
  <c r="V472" i="11"/>
  <c r="U472" i="11"/>
  <c r="C473" i="11"/>
  <c r="B474" i="11"/>
  <c r="E473" i="11"/>
  <c r="D473" i="11"/>
  <c r="S473" i="11" s="1"/>
  <c r="T473" i="11" s="1"/>
  <c r="J208" i="11" l="1"/>
  <c r="H208" i="11" s="1"/>
  <c r="I208" i="11" s="1"/>
  <c r="N208" i="11" s="1"/>
  <c r="B499" i="12"/>
  <c r="F474" i="11"/>
  <c r="U473" i="11"/>
  <c r="V473" i="11"/>
  <c r="C474" i="11"/>
  <c r="D474" i="11"/>
  <c r="S474" i="11" s="1"/>
  <c r="T474" i="11" s="1"/>
  <c r="B475" i="11"/>
  <c r="E474" i="11"/>
  <c r="K208" i="11" l="1"/>
  <c r="G209" i="11" s="1"/>
  <c r="L208" i="11"/>
  <c r="C233" i="12" s="1"/>
  <c r="B500" i="12"/>
  <c r="F475" i="11"/>
  <c r="V474" i="11"/>
  <c r="U474" i="11"/>
  <c r="C475" i="11"/>
  <c r="B476" i="11"/>
  <c r="E475" i="11"/>
  <c r="D475" i="11"/>
  <c r="S475" i="11" s="1"/>
  <c r="T475" i="11" s="1"/>
  <c r="J209" i="11" l="1"/>
  <c r="H209" i="11" s="1"/>
  <c r="I209" i="11" s="1"/>
  <c r="N209" i="11" s="1"/>
  <c r="B501" i="12"/>
  <c r="F476" i="11"/>
  <c r="V475" i="11"/>
  <c r="U475" i="11"/>
  <c r="C476" i="11"/>
  <c r="D476" i="11"/>
  <c r="S476" i="11" s="1"/>
  <c r="T476" i="11" s="1"/>
  <c r="B477" i="11"/>
  <c r="E476" i="11"/>
  <c r="K209" i="11" l="1"/>
  <c r="G210" i="11" s="1"/>
  <c r="L209" i="11"/>
  <c r="C234" i="12" s="1"/>
  <c r="B502" i="12"/>
  <c r="F477" i="11"/>
  <c r="V476" i="11"/>
  <c r="U476" i="11"/>
  <c r="C477" i="11"/>
  <c r="B478" i="11"/>
  <c r="E477" i="11"/>
  <c r="D477" i="11"/>
  <c r="S477" i="11" s="1"/>
  <c r="T477" i="11" s="1"/>
  <c r="J210" i="11" l="1"/>
  <c r="H210" i="11" s="1"/>
  <c r="I210" i="11" s="1"/>
  <c r="N210" i="11" s="1"/>
  <c r="B503" i="12"/>
  <c r="F478" i="11"/>
  <c r="U477" i="11"/>
  <c r="V477" i="11"/>
  <c r="C478" i="11"/>
  <c r="D478" i="11"/>
  <c r="S478" i="11" s="1"/>
  <c r="T478" i="11" s="1"/>
  <c r="B479" i="11"/>
  <c r="E478" i="11"/>
  <c r="K210" i="11" l="1"/>
  <c r="G211" i="11" s="1"/>
  <c r="L210" i="11"/>
  <c r="C235" i="12" s="1"/>
  <c r="B504" i="12"/>
  <c r="F479" i="11"/>
  <c r="U478" i="11"/>
  <c r="V478" i="11"/>
  <c r="C479" i="11"/>
  <c r="B480" i="11"/>
  <c r="E479" i="11"/>
  <c r="D479" i="11"/>
  <c r="S479" i="11" s="1"/>
  <c r="T479" i="11" s="1"/>
  <c r="J211" i="11" l="1"/>
  <c r="H211" i="11" s="1"/>
  <c r="B505" i="12"/>
  <c r="F480" i="11"/>
  <c r="V479" i="11"/>
  <c r="U479" i="11"/>
  <c r="C480" i="11"/>
  <c r="D480" i="11"/>
  <c r="S480" i="11" s="1"/>
  <c r="T480" i="11" s="1"/>
  <c r="B481" i="11"/>
  <c r="E480" i="11"/>
  <c r="I211" i="11" l="1"/>
  <c r="B506" i="12"/>
  <c r="F481" i="11"/>
  <c r="V480" i="11"/>
  <c r="U480" i="11"/>
  <c r="C481" i="11"/>
  <c r="B482" i="11"/>
  <c r="E481" i="11"/>
  <c r="D481" i="11"/>
  <c r="S481" i="11" s="1"/>
  <c r="T481" i="11" s="1"/>
  <c r="N211" i="11" l="1"/>
  <c r="K211" i="11"/>
  <c r="G212" i="11" s="1"/>
  <c r="L211" i="11"/>
  <c r="C236" i="12" s="1"/>
  <c r="B507" i="12"/>
  <c r="F482" i="11"/>
  <c r="U481" i="11"/>
  <c r="V481" i="11"/>
  <c r="C482" i="11"/>
  <c r="D482" i="11"/>
  <c r="S482" i="11" s="1"/>
  <c r="T482" i="11" s="1"/>
  <c r="B483" i="11"/>
  <c r="E482" i="11"/>
  <c r="J212" i="11" l="1"/>
  <c r="H212" i="11" s="1"/>
  <c r="B508" i="12"/>
  <c r="F483" i="11"/>
  <c r="U482" i="11"/>
  <c r="V482" i="11"/>
  <c r="C483" i="11"/>
  <c r="B484" i="11"/>
  <c r="E483" i="11"/>
  <c r="D483" i="11"/>
  <c r="S483" i="11" s="1"/>
  <c r="T483" i="11" s="1"/>
  <c r="I212" i="11" l="1"/>
  <c r="B509" i="12"/>
  <c r="F484" i="11"/>
  <c r="V483" i="11"/>
  <c r="U483" i="11"/>
  <c r="C484" i="11"/>
  <c r="D484" i="11"/>
  <c r="S484" i="11" s="1"/>
  <c r="T484" i="11" s="1"/>
  <c r="B485" i="11"/>
  <c r="E484" i="11"/>
  <c r="N212" i="11" l="1"/>
  <c r="K212" i="11"/>
  <c r="G213" i="11" s="1"/>
  <c r="L212" i="11"/>
  <c r="C237" i="12" s="1"/>
  <c r="B510" i="12"/>
  <c r="F485" i="11"/>
  <c r="V484" i="11"/>
  <c r="U484" i="11"/>
  <c r="C485" i="11"/>
  <c r="B486" i="11"/>
  <c r="E485" i="11"/>
  <c r="D485" i="11"/>
  <c r="S485" i="11" s="1"/>
  <c r="T485" i="11" s="1"/>
  <c r="J213" i="11" l="1"/>
  <c r="H213" i="11" s="1"/>
  <c r="B511" i="12"/>
  <c r="F486" i="11"/>
  <c r="V485" i="11"/>
  <c r="U485" i="11"/>
  <c r="C486" i="11"/>
  <c r="D486" i="11"/>
  <c r="S486" i="11" s="1"/>
  <c r="T486" i="11" s="1"/>
  <c r="B487" i="11"/>
  <c r="E486" i="11"/>
  <c r="I213" i="11" l="1"/>
  <c r="B512" i="12"/>
  <c r="F487" i="11"/>
  <c r="V486" i="11"/>
  <c r="U486" i="11"/>
  <c r="C487" i="11"/>
  <c r="B488" i="11"/>
  <c r="E487" i="11"/>
  <c r="D487" i="11"/>
  <c r="S487" i="11" s="1"/>
  <c r="T487" i="11" s="1"/>
  <c r="N213" i="11" l="1"/>
  <c r="K213" i="11"/>
  <c r="G214" i="11" s="1"/>
  <c r="L213" i="11"/>
  <c r="C238" i="12" s="1"/>
  <c r="B513" i="12"/>
  <c r="F488" i="11"/>
  <c r="U487" i="11"/>
  <c r="V487" i="11"/>
  <c r="C488" i="11"/>
  <c r="D488" i="11"/>
  <c r="S488" i="11" s="1"/>
  <c r="T488" i="11" s="1"/>
  <c r="B489" i="11"/>
  <c r="E488" i="11"/>
  <c r="J214" i="11" l="1"/>
  <c r="H214" i="11" s="1"/>
  <c r="B514" i="12"/>
  <c r="F489" i="11"/>
  <c r="U488" i="11"/>
  <c r="V488" i="11"/>
  <c r="C489" i="11"/>
  <c r="B490" i="11"/>
  <c r="E489" i="11"/>
  <c r="D489" i="11"/>
  <c r="S489" i="11" s="1"/>
  <c r="T489" i="11" s="1"/>
  <c r="I214" i="11" l="1"/>
  <c r="B515" i="12"/>
  <c r="F490" i="11"/>
  <c r="V489" i="11"/>
  <c r="U489" i="11"/>
  <c r="C490" i="11"/>
  <c r="D490" i="11"/>
  <c r="S490" i="11" s="1"/>
  <c r="T490" i="11" s="1"/>
  <c r="B491" i="11"/>
  <c r="E490" i="11"/>
  <c r="N214" i="11" l="1"/>
  <c r="K214" i="11"/>
  <c r="G215" i="11" s="1"/>
  <c r="L214" i="11"/>
  <c r="C239" i="12" s="1"/>
  <c r="B516" i="12"/>
  <c r="F491" i="11"/>
  <c r="V490" i="11"/>
  <c r="U490" i="11"/>
  <c r="C491" i="11"/>
  <c r="B492" i="11"/>
  <c r="E491" i="11"/>
  <c r="D491" i="11"/>
  <c r="S491" i="11" s="1"/>
  <c r="T491" i="11" s="1"/>
  <c r="J215" i="11" l="1"/>
  <c r="H215" i="11" s="1"/>
  <c r="B517" i="12"/>
  <c r="F492" i="11"/>
  <c r="V491" i="11"/>
  <c r="U491" i="11"/>
  <c r="C492" i="11"/>
  <c r="D492" i="11"/>
  <c r="S492" i="11" s="1"/>
  <c r="T492" i="11" s="1"/>
  <c r="B493" i="11"/>
  <c r="E492" i="11"/>
  <c r="I215" i="11" l="1"/>
  <c r="B518" i="12"/>
  <c r="F493" i="11"/>
  <c r="V492" i="11"/>
  <c r="U492" i="11"/>
  <c r="C493" i="11"/>
  <c r="B494" i="11"/>
  <c r="E493" i="11"/>
  <c r="D493" i="11"/>
  <c r="S493" i="11" s="1"/>
  <c r="T493" i="11" s="1"/>
  <c r="N215" i="11" l="1"/>
  <c r="K215" i="11"/>
  <c r="G216" i="11" s="1"/>
  <c r="L215" i="11"/>
  <c r="C240" i="12" s="1"/>
  <c r="B519" i="12"/>
  <c r="F494" i="11"/>
  <c r="U493" i="11"/>
  <c r="V493" i="11"/>
  <c r="C494" i="11"/>
  <c r="D494" i="11"/>
  <c r="S494" i="11" s="1"/>
  <c r="T494" i="11" s="1"/>
  <c r="B495" i="11"/>
  <c r="E494" i="11"/>
  <c r="J216" i="11" l="1"/>
  <c r="H216" i="11" s="1"/>
  <c r="B520" i="12"/>
  <c r="F495" i="11"/>
  <c r="U494" i="11"/>
  <c r="V494" i="11"/>
  <c r="C495" i="11"/>
  <c r="B496" i="11"/>
  <c r="E495" i="11"/>
  <c r="D495" i="11"/>
  <c r="S495" i="11" s="1"/>
  <c r="T495" i="11" s="1"/>
  <c r="I216" i="11" l="1"/>
  <c r="B521" i="12"/>
  <c r="F496" i="11"/>
  <c r="U495" i="11"/>
  <c r="V495" i="11"/>
  <c r="C496" i="11"/>
  <c r="D496" i="11"/>
  <c r="S496" i="11" s="1"/>
  <c r="T496" i="11" s="1"/>
  <c r="B497" i="11"/>
  <c r="E496" i="11"/>
  <c r="N216" i="11" l="1"/>
  <c r="K216" i="11"/>
  <c r="G217" i="11" s="1"/>
  <c r="L216" i="11"/>
  <c r="C241" i="12" s="1"/>
  <c r="B522" i="12"/>
  <c r="F497" i="11"/>
  <c r="U496" i="11"/>
  <c r="V496" i="11"/>
  <c r="C497" i="11"/>
  <c r="B498" i="11"/>
  <c r="E497" i="11"/>
  <c r="D497" i="11"/>
  <c r="S497" i="11" s="1"/>
  <c r="T497" i="11" s="1"/>
  <c r="J217" i="11" l="1"/>
  <c r="H217" i="11" s="1"/>
  <c r="B523" i="12"/>
  <c r="F498" i="11"/>
  <c r="U497" i="11"/>
  <c r="V497" i="11"/>
  <c r="C498" i="11"/>
  <c r="D498" i="11"/>
  <c r="S498" i="11" s="1"/>
  <c r="T498" i="11" s="1"/>
  <c r="B499" i="11"/>
  <c r="E498" i="11"/>
  <c r="I217" i="11" l="1"/>
  <c r="B524" i="12"/>
  <c r="F499" i="11"/>
  <c r="U498" i="11"/>
  <c r="V498" i="11"/>
  <c r="C499" i="11"/>
  <c r="B500" i="11"/>
  <c r="E499" i="11"/>
  <c r="D499" i="11"/>
  <c r="S499" i="11" s="1"/>
  <c r="T499" i="11" s="1"/>
  <c r="N217" i="11" l="1"/>
  <c r="K217" i="11"/>
  <c r="G218" i="11" s="1"/>
  <c r="L217" i="11"/>
  <c r="C242" i="12" s="1"/>
  <c r="B525" i="12"/>
  <c r="F500" i="11"/>
  <c r="V499" i="11"/>
  <c r="U499" i="11"/>
  <c r="C500" i="11"/>
  <c r="D500" i="11"/>
  <c r="S500" i="11" s="1"/>
  <c r="T500" i="11" s="1"/>
  <c r="B501" i="11"/>
  <c r="E500" i="11"/>
  <c r="J218" i="11" l="1"/>
  <c r="H218" i="11" s="1"/>
  <c r="B526" i="12"/>
  <c r="F501" i="11"/>
  <c r="V500" i="11"/>
  <c r="U500" i="11"/>
  <c r="C501" i="11"/>
  <c r="B502" i="11"/>
  <c r="E501" i="11"/>
  <c r="D501" i="11"/>
  <c r="S501" i="11" s="1"/>
  <c r="T501" i="11" s="1"/>
  <c r="I218" i="11" l="1"/>
  <c r="B527" i="12"/>
  <c r="F502" i="11"/>
  <c r="V501" i="11"/>
  <c r="U501" i="11"/>
  <c r="D502" i="11"/>
  <c r="S502" i="11" s="1"/>
  <c r="T502" i="11" s="1"/>
  <c r="C502" i="11"/>
  <c r="B503" i="11"/>
  <c r="E502" i="11"/>
  <c r="N218" i="11" l="1"/>
  <c r="K218" i="11"/>
  <c r="G219" i="11" s="1"/>
  <c r="L218" i="11"/>
  <c r="C243" i="12" s="1"/>
  <c r="B528" i="12"/>
  <c r="F503" i="11"/>
  <c r="V502" i="11"/>
  <c r="U502" i="11"/>
  <c r="C503" i="11"/>
  <c r="B504" i="11"/>
  <c r="E503" i="11"/>
  <c r="D503" i="11"/>
  <c r="S503" i="11" s="1"/>
  <c r="T503" i="11" s="1"/>
  <c r="J219" i="11" l="1"/>
  <c r="H219" i="11" s="1"/>
  <c r="B529" i="12"/>
  <c r="F504" i="11"/>
  <c r="V503" i="11"/>
  <c r="U503" i="11"/>
  <c r="C504" i="11"/>
  <c r="D504" i="11"/>
  <c r="S504" i="11" s="1"/>
  <c r="T504" i="11" s="1"/>
  <c r="B505" i="11"/>
  <c r="E504" i="11"/>
  <c r="I219" i="11" l="1"/>
  <c r="B530" i="12"/>
  <c r="F505" i="11"/>
  <c r="V504" i="11"/>
  <c r="U504" i="11"/>
  <c r="C505" i="11"/>
  <c r="B506" i="11"/>
  <c r="E505" i="11"/>
  <c r="D505" i="11"/>
  <c r="S505" i="11" s="1"/>
  <c r="T505" i="11" s="1"/>
  <c r="N219" i="11" l="1"/>
  <c r="K219" i="11"/>
  <c r="G220" i="11" s="1"/>
  <c r="L219" i="11"/>
  <c r="C244" i="12" s="1"/>
  <c r="B531" i="12"/>
  <c r="F506" i="11"/>
  <c r="V505" i="11"/>
  <c r="U505" i="11"/>
  <c r="C506" i="11"/>
  <c r="D506" i="11"/>
  <c r="S506" i="11" s="1"/>
  <c r="T506" i="11" s="1"/>
  <c r="B507" i="11"/>
  <c r="E506" i="11"/>
  <c r="J220" i="11" l="1"/>
  <c r="H220" i="11" s="1"/>
  <c r="B532" i="12"/>
  <c r="F507" i="11"/>
  <c r="V506" i="11"/>
  <c r="U506" i="11"/>
  <c r="C507" i="11"/>
  <c r="B508" i="11"/>
  <c r="E507" i="11"/>
  <c r="D507" i="11"/>
  <c r="S507" i="11" s="1"/>
  <c r="T507" i="11" s="1"/>
  <c r="I220" i="11" l="1"/>
  <c r="B533" i="12"/>
  <c r="F508" i="11"/>
  <c r="V507" i="11"/>
  <c r="U507" i="11"/>
  <c r="C508" i="11"/>
  <c r="D508" i="11"/>
  <c r="S508" i="11" s="1"/>
  <c r="T508" i="11" s="1"/>
  <c r="B509" i="11"/>
  <c r="E508" i="11"/>
  <c r="N220" i="11" l="1"/>
  <c r="K220" i="11"/>
  <c r="G221" i="11" s="1"/>
  <c r="L220" i="11"/>
  <c r="C245" i="12" s="1"/>
  <c r="B534" i="12"/>
  <c r="F509" i="11"/>
  <c r="U508" i="11"/>
  <c r="V508" i="11"/>
  <c r="C509" i="11"/>
  <c r="B510" i="11"/>
  <c r="E509" i="11"/>
  <c r="D509" i="11"/>
  <c r="S509" i="11" s="1"/>
  <c r="T509" i="11" s="1"/>
  <c r="J221" i="11" l="1"/>
  <c r="H221" i="11" s="1"/>
  <c r="B535" i="12"/>
  <c r="F510" i="11"/>
  <c r="U509" i="11"/>
  <c r="V509" i="11"/>
  <c r="C510" i="11"/>
  <c r="D510" i="11"/>
  <c r="S510" i="11" s="1"/>
  <c r="T510" i="11" s="1"/>
  <c r="B511" i="11"/>
  <c r="E510" i="11"/>
  <c r="I221" i="11" l="1"/>
  <c r="B536" i="12"/>
  <c r="F511" i="11"/>
  <c r="U510" i="11"/>
  <c r="V510" i="11"/>
  <c r="C511" i="11"/>
  <c r="B512" i="11"/>
  <c r="E511" i="11"/>
  <c r="D511" i="11"/>
  <c r="S511" i="11" s="1"/>
  <c r="T511" i="11" s="1"/>
  <c r="N221" i="11" l="1"/>
  <c r="K221" i="11"/>
  <c r="G222" i="11" s="1"/>
  <c r="L221" i="11"/>
  <c r="C246" i="12" s="1"/>
  <c r="B537" i="12"/>
  <c r="F512" i="11"/>
  <c r="V511" i="11"/>
  <c r="U511" i="11"/>
  <c r="C512" i="11"/>
  <c r="D512" i="11"/>
  <c r="S512" i="11" s="1"/>
  <c r="T512" i="11" s="1"/>
  <c r="B513" i="11"/>
  <c r="E512" i="11"/>
  <c r="J222" i="11" l="1"/>
  <c r="H222" i="11" s="1"/>
  <c r="B538" i="12"/>
  <c r="F513" i="11"/>
  <c r="V512" i="11"/>
  <c r="U512" i="11"/>
  <c r="C513" i="11"/>
  <c r="B514" i="11"/>
  <c r="E513" i="11"/>
  <c r="D513" i="11"/>
  <c r="S513" i="11" s="1"/>
  <c r="T513" i="11" s="1"/>
  <c r="I222" i="11" l="1"/>
  <c r="B539" i="12"/>
  <c r="F514" i="11"/>
  <c r="V513" i="11"/>
  <c r="U513" i="11"/>
  <c r="C514" i="11"/>
  <c r="D514" i="11"/>
  <c r="S514" i="11" s="1"/>
  <c r="T514" i="11" s="1"/>
  <c r="B515" i="11"/>
  <c r="E514" i="11"/>
  <c r="N222" i="11" l="1"/>
  <c r="K222" i="11"/>
  <c r="G223" i="11" s="1"/>
  <c r="L222" i="11"/>
  <c r="C247" i="12" s="1"/>
  <c r="B540" i="12"/>
  <c r="F515" i="11"/>
  <c r="U514" i="11"/>
  <c r="V514" i="11"/>
  <c r="C515" i="11"/>
  <c r="B516" i="11"/>
  <c r="E515" i="11"/>
  <c r="D515" i="11"/>
  <c r="S515" i="11" s="1"/>
  <c r="T515" i="11" s="1"/>
  <c r="J223" i="11" l="1"/>
  <c r="H223" i="11" s="1"/>
  <c r="B541" i="12"/>
  <c r="F516" i="11"/>
  <c r="V515" i="11"/>
  <c r="U515" i="11"/>
  <c r="C516" i="11"/>
  <c r="D516" i="11"/>
  <c r="S516" i="11" s="1"/>
  <c r="T516" i="11" s="1"/>
  <c r="B517" i="11"/>
  <c r="E516" i="11"/>
  <c r="I223" i="11" l="1"/>
  <c r="B542" i="12"/>
  <c r="F517" i="11"/>
  <c r="U516" i="11"/>
  <c r="V516" i="11"/>
  <c r="C517" i="11"/>
  <c r="B518" i="11"/>
  <c r="E517" i="11"/>
  <c r="D517" i="11"/>
  <c r="S517" i="11" s="1"/>
  <c r="T517" i="11" s="1"/>
  <c r="N223" i="11" l="1"/>
  <c r="K223" i="11"/>
  <c r="G224" i="11" s="1"/>
  <c r="L223" i="11"/>
  <c r="C248" i="12" s="1"/>
  <c r="B543" i="12"/>
  <c r="F518" i="11"/>
  <c r="V517" i="11"/>
  <c r="U517" i="11"/>
  <c r="C518" i="11"/>
  <c r="D518" i="11"/>
  <c r="S518" i="11" s="1"/>
  <c r="T518" i="11" s="1"/>
  <c r="B519" i="11"/>
  <c r="E518" i="11"/>
  <c r="J224" i="11" l="1"/>
  <c r="H224" i="11" s="1"/>
  <c r="B544" i="12"/>
  <c r="F519" i="11"/>
  <c r="V518" i="11"/>
  <c r="U518" i="11"/>
  <c r="C519" i="11"/>
  <c r="B520" i="11"/>
  <c r="E519" i="11"/>
  <c r="D519" i="11"/>
  <c r="S519" i="11" s="1"/>
  <c r="T519" i="11" s="1"/>
  <c r="I224" i="11" l="1"/>
  <c r="B545" i="12"/>
  <c r="F520" i="11"/>
  <c r="V519" i="11"/>
  <c r="U519" i="11"/>
  <c r="C520" i="11"/>
  <c r="D520" i="11"/>
  <c r="S520" i="11" s="1"/>
  <c r="T520" i="11" s="1"/>
  <c r="B521" i="11"/>
  <c r="E520" i="11"/>
  <c r="N224" i="11" l="1"/>
  <c r="K224" i="11"/>
  <c r="G225" i="11" s="1"/>
  <c r="L224" i="11"/>
  <c r="C249" i="12" s="1"/>
  <c r="B546" i="12"/>
  <c r="F521" i="11"/>
  <c r="V520" i="11"/>
  <c r="U520" i="11"/>
  <c r="C521" i="11"/>
  <c r="B522" i="11"/>
  <c r="E521" i="11"/>
  <c r="D521" i="11"/>
  <c r="S521" i="11" s="1"/>
  <c r="T521" i="11" s="1"/>
  <c r="J225" i="11" l="1"/>
  <c r="H225" i="11" s="1"/>
  <c r="B547" i="12"/>
  <c r="F522" i="11"/>
  <c r="U521" i="11"/>
  <c r="V521" i="11"/>
  <c r="C522" i="11"/>
  <c r="D522" i="11"/>
  <c r="S522" i="11" s="1"/>
  <c r="T522" i="11" s="1"/>
  <c r="B523" i="11"/>
  <c r="E522" i="11"/>
  <c r="I225" i="11" l="1"/>
  <c r="B548" i="12"/>
  <c r="F523" i="11"/>
  <c r="V522" i="11"/>
  <c r="U522" i="11"/>
  <c r="C523" i="11"/>
  <c r="B524" i="11"/>
  <c r="E523" i="11"/>
  <c r="D523" i="11"/>
  <c r="S523" i="11" s="1"/>
  <c r="T523" i="11" s="1"/>
  <c r="N225" i="11" l="1"/>
  <c r="K225" i="11"/>
  <c r="G226" i="11" s="1"/>
  <c r="L225" i="11"/>
  <c r="C250" i="12" s="1"/>
  <c r="B549" i="12"/>
  <c r="F524" i="11"/>
  <c r="V523" i="11"/>
  <c r="U523" i="11"/>
  <c r="C524" i="11"/>
  <c r="D524" i="11"/>
  <c r="S524" i="11" s="1"/>
  <c r="T524" i="11" s="1"/>
  <c r="B525" i="11"/>
  <c r="E524" i="11"/>
  <c r="J226" i="11" l="1"/>
  <c r="H226" i="11" s="1"/>
  <c r="I226" i="11" s="1"/>
  <c r="N226" i="11" s="1"/>
  <c r="B550" i="12"/>
  <c r="F525" i="11"/>
  <c r="V524" i="11"/>
  <c r="U524" i="11"/>
  <c r="C525" i="11"/>
  <c r="B526" i="11"/>
  <c r="E525" i="11"/>
  <c r="D525" i="11"/>
  <c r="S525" i="11" s="1"/>
  <c r="T525" i="11" s="1"/>
  <c r="K226" i="11" l="1"/>
  <c r="G227" i="11" s="1"/>
  <c r="L226" i="11"/>
  <c r="C251" i="12" s="1"/>
  <c r="B551" i="12"/>
  <c r="F526" i="11"/>
  <c r="U525" i="11"/>
  <c r="V525" i="11"/>
  <c r="C526" i="11"/>
  <c r="D526" i="11"/>
  <c r="S526" i="11" s="1"/>
  <c r="T526" i="11" s="1"/>
  <c r="B527" i="11"/>
  <c r="E526" i="11"/>
  <c r="J227" i="11" l="1"/>
  <c r="H227" i="11" s="1"/>
  <c r="B552" i="12"/>
  <c r="F527" i="11"/>
  <c r="U526" i="11"/>
  <c r="V526" i="11"/>
  <c r="C527" i="11"/>
  <c r="B528" i="11"/>
  <c r="E527" i="11"/>
  <c r="D527" i="11"/>
  <c r="S527" i="11" s="1"/>
  <c r="T527" i="11" s="1"/>
  <c r="I227" i="11" l="1"/>
  <c r="B553" i="12"/>
  <c r="F528" i="11"/>
  <c r="U527" i="11"/>
  <c r="V527" i="11"/>
  <c r="D528" i="11"/>
  <c r="S528" i="11" s="1"/>
  <c r="T528" i="11" s="1"/>
  <c r="C528" i="11"/>
  <c r="B529" i="11"/>
  <c r="E528" i="11"/>
  <c r="N227" i="11" l="1"/>
  <c r="K227" i="11"/>
  <c r="G228" i="11" s="1"/>
  <c r="L227" i="11"/>
  <c r="C252" i="12" s="1"/>
  <c r="B554" i="12"/>
  <c r="F529" i="11"/>
  <c r="V528" i="11"/>
  <c r="U528" i="11"/>
  <c r="C529" i="11"/>
  <c r="B530" i="11"/>
  <c r="E529" i="11"/>
  <c r="D529" i="11"/>
  <c r="S529" i="11" s="1"/>
  <c r="T529" i="11" s="1"/>
  <c r="J228" i="11" l="1"/>
  <c r="H228" i="11" s="1"/>
  <c r="I228" i="11" s="1"/>
  <c r="N228" i="11" s="1"/>
  <c r="B555" i="12"/>
  <c r="F530" i="11"/>
  <c r="V529" i="11"/>
  <c r="U529" i="11"/>
  <c r="C530" i="11"/>
  <c r="D530" i="11"/>
  <c r="S530" i="11" s="1"/>
  <c r="T530" i="11" s="1"/>
  <c r="B531" i="11"/>
  <c r="E530" i="11"/>
  <c r="K228" i="11" l="1"/>
  <c r="G229" i="11" s="1"/>
  <c r="L228" i="11"/>
  <c r="C253" i="12" s="1"/>
  <c r="B556" i="12"/>
  <c r="F531" i="11"/>
  <c r="U530" i="11"/>
  <c r="V530" i="11"/>
  <c r="C531" i="11"/>
  <c r="B532" i="11"/>
  <c r="E531" i="11"/>
  <c r="D531" i="11"/>
  <c r="S531" i="11" s="1"/>
  <c r="T531" i="11" s="1"/>
  <c r="J229" i="11" l="1"/>
  <c r="H229" i="11"/>
  <c r="I229" i="11" s="1"/>
  <c r="N229" i="11" s="1"/>
  <c r="B557" i="12"/>
  <c r="F532" i="11"/>
  <c r="V531" i="11"/>
  <c r="U531" i="11"/>
  <c r="C532" i="11"/>
  <c r="D532" i="11"/>
  <c r="S532" i="11" s="1"/>
  <c r="T532" i="11" s="1"/>
  <c r="B533" i="11"/>
  <c r="E532" i="11"/>
  <c r="K229" i="11" l="1"/>
  <c r="G230" i="11" s="1"/>
  <c r="L229" i="11"/>
  <c r="C254" i="12" s="1"/>
  <c r="B558" i="12"/>
  <c r="F533" i="11"/>
  <c r="V532" i="11"/>
  <c r="U532" i="11"/>
  <c r="C533" i="11"/>
  <c r="B534" i="11"/>
  <c r="E533" i="11"/>
  <c r="D533" i="11"/>
  <c r="S533" i="11" s="1"/>
  <c r="T533" i="11" s="1"/>
  <c r="J230" i="11" l="1"/>
  <c r="H230" i="11" s="1"/>
  <c r="I230" i="11" s="1"/>
  <c r="N230" i="11" s="1"/>
  <c r="B559" i="12"/>
  <c r="F534" i="11"/>
  <c r="V533" i="11"/>
  <c r="U533" i="11"/>
  <c r="D534" i="11"/>
  <c r="S534" i="11" s="1"/>
  <c r="T534" i="11" s="1"/>
  <c r="C534" i="11"/>
  <c r="B535" i="11"/>
  <c r="E534" i="11"/>
  <c r="K230" i="11" l="1"/>
  <c r="G231" i="11" s="1"/>
  <c r="L230" i="11"/>
  <c r="C255" i="12" s="1"/>
  <c r="B560" i="12"/>
  <c r="F535" i="11"/>
  <c r="V534" i="11"/>
  <c r="U534" i="11"/>
  <c r="C535" i="11"/>
  <c r="B536" i="11"/>
  <c r="E535" i="11"/>
  <c r="D535" i="11"/>
  <c r="S535" i="11" s="1"/>
  <c r="T535" i="11" s="1"/>
  <c r="J231" i="11" l="1"/>
  <c r="H231" i="11" s="1"/>
  <c r="B561" i="12"/>
  <c r="F536" i="11"/>
  <c r="V535" i="11"/>
  <c r="U535" i="11"/>
  <c r="C536" i="11"/>
  <c r="D536" i="11"/>
  <c r="S536" i="11" s="1"/>
  <c r="T536" i="11" s="1"/>
  <c r="B537" i="11"/>
  <c r="E536" i="11"/>
  <c r="I231" i="11" l="1"/>
  <c r="B562" i="12"/>
  <c r="F537" i="11"/>
  <c r="V536" i="11"/>
  <c r="U536" i="11"/>
  <c r="C537" i="11"/>
  <c r="B538" i="11"/>
  <c r="E537" i="11"/>
  <c r="D537" i="11"/>
  <c r="S537" i="11" s="1"/>
  <c r="T537" i="11" s="1"/>
  <c r="N231" i="11" l="1"/>
  <c r="K231" i="11"/>
  <c r="G232" i="11" s="1"/>
  <c r="L231" i="11"/>
  <c r="C256" i="12" s="1"/>
  <c r="B563" i="12"/>
  <c r="F538" i="11"/>
  <c r="U537" i="11"/>
  <c r="V537" i="11"/>
  <c r="C538" i="11"/>
  <c r="D538" i="11"/>
  <c r="S538" i="11" s="1"/>
  <c r="T538" i="11" s="1"/>
  <c r="B539" i="11"/>
  <c r="E538" i="11"/>
  <c r="J232" i="11" l="1"/>
  <c r="H232" i="11"/>
  <c r="I232" i="11" s="1"/>
  <c r="N232" i="11" s="1"/>
  <c r="B564" i="12"/>
  <c r="F539" i="11"/>
  <c r="V538" i="11"/>
  <c r="U538" i="11"/>
  <c r="C539" i="11"/>
  <c r="B540" i="11"/>
  <c r="E539" i="11"/>
  <c r="D539" i="11"/>
  <c r="S539" i="11" s="1"/>
  <c r="T539" i="11" s="1"/>
  <c r="K232" i="11" l="1"/>
  <c r="G233" i="11" s="1"/>
  <c r="L232" i="11"/>
  <c r="C257" i="12" s="1"/>
  <c r="B565" i="12"/>
  <c r="F540" i="11"/>
  <c r="U539" i="11"/>
  <c r="V539" i="11"/>
  <c r="C540" i="11"/>
  <c r="D540" i="11"/>
  <c r="S540" i="11" s="1"/>
  <c r="T540" i="11" s="1"/>
  <c r="B541" i="11"/>
  <c r="E540" i="11"/>
  <c r="J233" i="11" l="1"/>
  <c r="H233" i="11" s="1"/>
  <c r="B566" i="12"/>
  <c r="F541" i="11"/>
  <c r="U540" i="11"/>
  <c r="V540" i="11"/>
  <c r="C541" i="11"/>
  <c r="B542" i="11"/>
  <c r="E541" i="11"/>
  <c r="D541" i="11"/>
  <c r="S541" i="11" s="1"/>
  <c r="T541" i="11" s="1"/>
  <c r="I233" i="11" l="1"/>
  <c r="B567" i="12"/>
  <c r="F542" i="11"/>
  <c r="U541" i="11"/>
  <c r="V541" i="11"/>
  <c r="C542" i="11"/>
  <c r="D542" i="11"/>
  <c r="S542" i="11" s="1"/>
  <c r="T542" i="11" s="1"/>
  <c r="B543" i="11"/>
  <c r="E542" i="11"/>
  <c r="N233" i="11" l="1"/>
  <c r="K233" i="11"/>
  <c r="G234" i="11" s="1"/>
  <c r="L233" i="11"/>
  <c r="C258" i="12" s="1"/>
  <c r="B568" i="12"/>
  <c r="F543" i="11"/>
  <c r="U542" i="11"/>
  <c r="V542" i="11"/>
  <c r="C543" i="11"/>
  <c r="B544" i="11"/>
  <c r="E543" i="11"/>
  <c r="D543" i="11"/>
  <c r="S543" i="11" s="1"/>
  <c r="T543" i="11" s="1"/>
  <c r="J234" i="11" l="1"/>
  <c r="H234" i="11" s="1"/>
  <c r="B569" i="12"/>
  <c r="F544" i="11"/>
  <c r="V543" i="11"/>
  <c r="U543" i="11"/>
  <c r="C544" i="11"/>
  <c r="D544" i="11"/>
  <c r="S544" i="11" s="1"/>
  <c r="T544" i="11" s="1"/>
  <c r="B545" i="11"/>
  <c r="E544" i="11"/>
  <c r="I234" i="11" l="1"/>
  <c r="B570" i="12"/>
  <c r="F545" i="11"/>
  <c r="V544" i="11"/>
  <c r="U544" i="11"/>
  <c r="C545" i="11"/>
  <c r="B546" i="11"/>
  <c r="E545" i="11"/>
  <c r="D545" i="11"/>
  <c r="S545" i="11" s="1"/>
  <c r="T545" i="11" s="1"/>
  <c r="N234" i="11" l="1"/>
  <c r="K234" i="11"/>
  <c r="G235" i="11" s="1"/>
  <c r="L234" i="11"/>
  <c r="C259" i="12" s="1"/>
  <c r="B571" i="12"/>
  <c r="F546" i="11"/>
  <c r="U545" i="11"/>
  <c r="V545" i="11"/>
  <c r="C546" i="11"/>
  <c r="D546" i="11"/>
  <c r="S546" i="11" s="1"/>
  <c r="T546" i="11" s="1"/>
  <c r="B547" i="11"/>
  <c r="E546" i="11"/>
  <c r="J235" i="11" l="1"/>
  <c r="H235" i="11" s="1"/>
  <c r="B572" i="12"/>
  <c r="F547" i="11"/>
  <c r="U546" i="11"/>
  <c r="V546" i="11"/>
  <c r="C547" i="11"/>
  <c r="B548" i="11"/>
  <c r="E547" i="11"/>
  <c r="D547" i="11"/>
  <c r="S547" i="11" s="1"/>
  <c r="T547" i="11" s="1"/>
  <c r="I235" i="11" l="1"/>
  <c r="B573" i="12"/>
  <c r="F548" i="11"/>
  <c r="U547" i="11"/>
  <c r="V547" i="11"/>
  <c r="C548" i="11"/>
  <c r="D548" i="11"/>
  <c r="S548" i="11" s="1"/>
  <c r="T548" i="11" s="1"/>
  <c r="B549" i="11"/>
  <c r="E548" i="11"/>
  <c r="N235" i="11" l="1"/>
  <c r="K235" i="11"/>
  <c r="G236" i="11" s="1"/>
  <c r="L235" i="11"/>
  <c r="C260" i="12" s="1"/>
  <c r="B574" i="12"/>
  <c r="F549" i="11"/>
  <c r="V548" i="11"/>
  <c r="U548" i="11"/>
  <c r="C549" i="11"/>
  <c r="B550" i="11"/>
  <c r="E549" i="11"/>
  <c r="D549" i="11"/>
  <c r="S549" i="11" s="1"/>
  <c r="T549" i="11" s="1"/>
  <c r="J236" i="11" l="1"/>
  <c r="H236" i="11" s="1"/>
  <c r="B575" i="12"/>
  <c r="F550" i="11"/>
  <c r="V549" i="11"/>
  <c r="U549" i="11"/>
  <c r="C550" i="11"/>
  <c r="D550" i="11"/>
  <c r="S550" i="11" s="1"/>
  <c r="T550" i="11" s="1"/>
  <c r="B551" i="11"/>
  <c r="E550" i="11"/>
  <c r="I236" i="11" l="1"/>
  <c r="B576" i="12"/>
  <c r="F551" i="11"/>
  <c r="V550" i="11"/>
  <c r="U550" i="11"/>
  <c r="C551" i="11"/>
  <c r="B552" i="11"/>
  <c r="E551" i="11"/>
  <c r="D551" i="11"/>
  <c r="S551" i="11" s="1"/>
  <c r="T551" i="11" s="1"/>
  <c r="N236" i="11" l="1"/>
  <c r="K236" i="11"/>
  <c r="G237" i="11" s="1"/>
  <c r="L236" i="11"/>
  <c r="C261" i="12" s="1"/>
  <c r="B577" i="12"/>
  <c r="F552" i="11"/>
  <c r="V551" i="11"/>
  <c r="U551" i="11"/>
  <c r="C552" i="11"/>
  <c r="D552" i="11"/>
  <c r="S552" i="11" s="1"/>
  <c r="T552" i="11" s="1"/>
  <c r="B553" i="11"/>
  <c r="E552" i="11"/>
  <c r="J237" i="11" l="1"/>
  <c r="H237" i="11" s="1"/>
  <c r="I237" i="11" s="1"/>
  <c r="N237" i="11" s="1"/>
  <c r="B578" i="12"/>
  <c r="F553" i="11"/>
  <c r="U552" i="11"/>
  <c r="V552" i="11"/>
  <c r="C553" i="11"/>
  <c r="B554" i="11"/>
  <c r="E553" i="11"/>
  <c r="D553" i="11"/>
  <c r="S553" i="11" s="1"/>
  <c r="T553" i="11" s="1"/>
  <c r="K237" i="11" l="1"/>
  <c r="G238" i="11" s="1"/>
  <c r="L237" i="11"/>
  <c r="C262" i="12" s="1"/>
  <c r="B579" i="12"/>
  <c r="F554" i="11"/>
  <c r="V553" i="11"/>
  <c r="U553" i="11"/>
  <c r="C554" i="11"/>
  <c r="D554" i="11"/>
  <c r="S554" i="11" s="1"/>
  <c r="T554" i="11" s="1"/>
  <c r="B555" i="11"/>
  <c r="E554" i="11"/>
  <c r="J238" i="11" l="1"/>
  <c r="H238" i="11" s="1"/>
  <c r="B580" i="12"/>
  <c r="F555" i="11"/>
  <c r="V554" i="11"/>
  <c r="U554" i="11"/>
  <c r="C555" i="11"/>
  <c r="B556" i="11"/>
  <c r="E555" i="11"/>
  <c r="D555" i="11"/>
  <c r="S555" i="11" s="1"/>
  <c r="T555" i="11" s="1"/>
  <c r="I238" i="11" l="1"/>
  <c r="B581" i="12"/>
  <c r="F556" i="11"/>
  <c r="V555" i="11"/>
  <c r="U555" i="11"/>
  <c r="C556" i="11"/>
  <c r="D556" i="11"/>
  <c r="S556" i="11" s="1"/>
  <c r="T556" i="11" s="1"/>
  <c r="B557" i="11"/>
  <c r="E556" i="11"/>
  <c r="N238" i="11" l="1"/>
  <c r="K238" i="11"/>
  <c r="G239" i="11" s="1"/>
  <c r="L238" i="11"/>
  <c r="C263" i="12" s="1"/>
  <c r="B582" i="12"/>
  <c r="F557" i="11"/>
  <c r="V556" i="11"/>
  <c r="U556" i="11"/>
  <c r="C557" i="11"/>
  <c r="B558" i="11"/>
  <c r="E557" i="11"/>
  <c r="D557" i="11"/>
  <c r="S557" i="11" s="1"/>
  <c r="T557" i="11" s="1"/>
  <c r="J239" i="11" l="1"/>
  <c r="H239" i="11" s="1"/>
  <c r="B583" i="12"/>
  <c r="F558" i="11"/>
  <c r="U557" i="11"/>
  <c r="V557" i="11"/>
  <c r="C558" i="11"/>
  <c r="D558" i="11"/>
  <c r="S558" i="11" s="1"/>
  <c r="T558" i="11" s="1"/>
  <c r="B559" i="11"/>
  <c r="E558" i="11"/>
  <c r="I239" i="11" l="1"/>
  <c r="B584" i="12"/>
  <c r="F559" i="11"/>
  <c r="U558" i="11"/>
  <c r="V558" i="11"/>
  <c r="C559" i="11"/>
  <c r="B560" i="11"/>
  <c r="E559" i="11"/>
  <c r="D559" i="11"/>
  <c r="S559" i="11" s="1"/>
  <c r="T559" i="11" s="1"/>
  <c r="N239" i="11" l="1"/>
  <c r="K239" i="11"/>
  <c r="G240" i="11" s="1"/>
  <c r="L239" i="11"/>
  <c r="C264" i="12" s="1"/>
  <c r="B585" i="12"/>
  <c r="F560" i="11"/>
  <c r="U559" i="11"/>
  <c r="V559" i="11"/>
  <c r="C560" i="11"/>
  <c r="D560" i="11"/>
  <c r="S560" i="11" s="1"/>
  <c r="T560" i="11" s="1"/>
  <c r="B561" i="11"/>
  <c r="E560" i="11"/>
  <c r="J240" i="11" l="1"/>
  <c r="H240" i="11" s="1"/>
  <c r="B586" i="12"/>
  <c r="F561" i="11"/>
  <c r="U560" i="11"/>
  <c r="V560" i="11"/>
  <c r="C561" i="11"/>
  <c r="B562" i="11"/>
  <c r="E561" i="11"/>
  <c r="D561" i="11"/>
  <c r="S561" i="11" s="1"/>
  <c r="T561" i="11" s="1"/>
  <c r="I240" i="11" l="1"/>
  <c r="B587" i="12"/>
  <c r="F562" i="11"/>
  <c r="U561" i="11"/>
  <c r="V561" i="11"/>
  <c r="C562" i="11"/>
  <c r="D562" i="11"/>
  <c r="S562" i="11" s="1"/>
  <c r="T562" i="11" s="1"/>
  <c r="B563" i="11"/>
  <c r="E562" i="11"/>
  <c r="N240" i="11" l="1"/>
  <c r="K240" i="11"/>
  <c r="G241" i="11" s="1"/>
  <c r="L240" i="11"/>
  <c r="C265" i="12" s="1"/>
  <c r="B588" i="12"/>
  <c r="F563" i="11"/>
  <c r="U562" i="11"/>
  <c r="V562" i="11"/>
  <c r="C563" i="11"/>
  <c r="B564" i="11"/>
  <c r="E563" i="11"/>
  <c r="D563" i="11"/>
  <c r="S563" i="11" s="1"/>
  <c r="T563" i="11" s="1"/>
  <c r="J241" i="11" l="1"/>
  <c r="H241" i="11" s="1"/>
  <c r="B589" i="12"/>
  <c r="F564" i="11"/>
  <c r="U563" i="11"/>
  <c r="V563" i="11"/>
  <c r="C564" i="11"/>
  <c r="D564" i="11"/>
  <c r="S564" i="11" s="1"/>
  <c r="T564" i="11" s="1"/>
  <c r="B565" i="11"/>
  <c r="E564" i="11"/>
  <c r="I241" i="11" l="1"/>
  <c r="B590" i="12"/>
  <c r="F565" i="11"/>
  <c r="V564" i="11"/>
  <c r="U564" i="11"/>
  <c r="C565" i="11"/>
  <c r="B566" i="11"/>
  <c r="E565" i="11"/>
  <c r="D565" i="11"/>
  <c r="S565" i="11" s="1"/>
  <c r="T565" i="11" s="1"/>
  <c r="N241" i="11" l="1"/>
  <c r="K241" i="11"/>
  <c r="G242" i="11" s="1"/>
  <c r="L241" i="11"/>
  <c r="C266" i="12" s="1"/>
  <c r="B591" i="12"/>
  <c r="F566" i="11"/>
  <c r="V565" i="11"/>
  <c r="U565" i="11"/>
  <c r="C566" i="11"/>
  <c r="D566" i="11"/>
  <c r="S566" i="11" s="1"/>
  <c r="T566" i="11" s="1"/>
  <c r="B567" i="11"/>
  <c r="E566" i="11"/>
  <c r="J242" i="11" l="1"/>
  <c r="H242" i="11" s="1"/>
  <c r="B592" i="12"/>
  <c r="F567" i="11"/>
  <c r="V566" i="11"/>
  <c r="U566" i="11"/>
  <c r="C567" i="11"/>
  <c r="B568" i="11"/>
  <c r="E567" i="11"/>
  <c r="D567" i="11"/>
  <c r="S567" i="11" s="1"/>
  <c r="T567" i="11" s="1"/>
  <c r="I242" i="11" l="1"/>
  <c r="B593" i="12"/>
  <c r="F568" i="11"/>
  <c r="V567" i="11"/>
  <c r="U567" i="11"/>
  <c r="C568" i="11"/>
  <c r="D568" i="11"/>
  <c r="S568" i="11" s="1"/>
  <c r="T568" i="11" s="1"/>
  <c r="B569" i="11"/>
  <c r="E568" i="11"/>
  <c r="N242" i="11" l="1"/>
  <c r="K242" i="11"/>
  <c r="G243" i="11" s="1"/>
  <c r="L242" i="11"/>
  <c r="C267" i="12" s="1"/>
  <c r="B594" i="12"/>
  <c r="F569" i="11"/>
  <c r="V568" i="11"/>
  <c r="U568" i="11"/>
  <c r="C569" i="11"/>
  <c r="B570" i="11"/>
  <c r="E569" i="11"/>
  <c r="D569" i="11"/>
  <c r="S569" i="11" s="1"/>
  <c r="T569" i="11" s="1"/>
  <c r="J243" i="11" l="1"/>
  <c r="H243" i="11" s="1"/>
  <c r="B595" i="12"/>
  <c r="F570" i="11"/>
  <c r="U569" i="11"/>
  <c r="V569" i="11"/>
  <c r="C570" i="11"/>
  <c r="D570" i="11"/>
  <c r="S570" i="11" s="1"/>
  <c r="T570" i="11" s="1"/>
  <c r="B571" i="11"/>
  <c r="E570" i="11"/>
  <c r="I243" i="11" l="1"/>
  <c r="B596" i="12"/>
  <c r="F571" i="11"/>
  <c r="V570" i="11"/>
  <c r="U570" i="11"/>
  <c r="C571" i="11"/>
  <c r="B572" i="11"/>
  <c r="E571" i="11"/>
  <c r="D571" i="11"/>
  <c r="S571" i="11" s="1"/>
  <c r="T571" i="11" s="1"/>
  <c r="N243" i="11" l="1"/>
  <c r="K243" i="11"/>
  <c r="G244" i="11" s="1"/>
  <c r="L243" i="11"/>
  <c r="C268" i="12" s="1"/>
  <c r="B597" i="12"/>
  <c r="F572" i="11"/>
  <c r="V571" i="11"/>
  <c r="U571" i="11"/>
  <c r="C572" i="11"/>
  <c r="D572" i="11"/>
  <c r="S572" i="11" s="1"/>
  <c r="T572" i="11" s="1"/>
  <c r="B573" i="11"/>
  <c r="E572" i="11"/>
  <c r="J244" i="11" l="1"/>
  <c r="H244" i="11" s="1"/>
  <c r="B598" i="12"/>
  <c r="F573" i="11"/>
  <c r="U572" i="11"/>
  <c r="V572" i="11"/>
  <c r="C573" i="11"/>
  <c r="B574" i="11"/>
  <c r="E573" i="11"/>
  <c r="D573" i="11"/>
  <c r="S573" i="11" s="1"/>
  <c r="T573" i="11" s="1"/>
  <c r="I244" i="11" l="1"/>
  <c r="B599" i="12"/>
  <c r="F574" i="11"/>
  <c r="U573" i="11"/>
  <c r="V573" i="11"/>
  <c r="C574" i="11"/>
  <c r="D574" i="11"/>
  <c r="S574" i="11" s="1"/>
  <c r="T574" i="11" s="1"/>
  <c r="B575" i="11"/>
  <c r="E574" i="11"/>
  <c r="N244" i="11" l="1"/>
  <c r="K244" i="11"/>
  <c r="G245" i="11" s="1"/>
  <c r="L244" i="11"/>
  <c r="C269" i="12" s="1"/>
  <c r="B600" i="12"/>
  <c r="F575" i="11"/>
  <c r="U574" i="11"/>
  <c r="V574" i="11"/>
  <c r="C575" i="11"/>
  <c r="B576" i="11"/>
  <c r="E575" i="11"/>
  <c r="D575" i="11"/>
  <c r="S575" i="11" s="1"/>
  <c r="T575" i="11" s="1"/>
  <c r="J245" i="11" l="1"/>
  <c r="H245" i="11" s="1"/>
  <c r="B601" i="12"/>
  <c r="F576" i="11"/>
  <c r="V575" i="11"/>
  <c r="U575" i="11"/>
  <c r="C576" i="11"/>
  <c r="D576" i="11"/>
  <c r="S576" i="11" s="1"/>
  <c r="T576" i="11" s="1"/>
  <c r="B577" i="11"/>
  <c r="E576" i="11"/>
  <c r="I245" i="11" l="1"/>
  <c r="B602" i="12"/>
  <c r="F577" i="11"/>
  <c r="V576" i="11"/>
  <c r="U576" i="11"/>
  <c r="C577" i="11"/>
  <c r="D577" i="11"/>
  <c r="S577" i="11" s="1"/>
  <c r="T577" i="11" s="1"/>
  <c r="B578" i="11"/>
  <c r="E577" i="11"/>
  <c r="N245" i="11" l="1"/>
  <c r="K245" i="11"/>
  <c r="G246" i="11" s="1"/>
  <c r="L245" i="11"/>
  <c r="C270" i="12" s="1"/>
  <c r="B603" i="12"/>
  <c r="F578" i="11"/>
  <c r="V577" i="11"/>
  <c r="U577" i="11"/>
  <c r="C578" i="11"/>
  <c r="B579" i="11"/>
  <c r="E578" i="11"/>
  <c r="D578" i="11"/>
  <c r="S578" i="11" s="1"/>
  <c r="T578" i="11" s="1"/>
  <c r="J246" i="11" l="1"/>
  <c r="H246" i="11" s="1"/>
  <c r="I246" i="11" s="1"/>
  <c r="N246" i="11" s="1"/>
  <c r="B604" i="12"/>
  <c r="F579" i="11"/>
  <c r="U578" i="11"/>
  <c r="V578" i="11"/>
  <c r="C579" i="11"/>
  <c r="D579" i="11"/>
  <c r="S579" i="11" s="1"/>
  <c r="T579" i="11" s="1"/>
  <c r="B580" i="11"/>
  <c r="E579" i="11"/>
  <c r="K246" i="11" l="1"/>
  <c r="G247" i="11" s="1"/>
  <c r="L246" i="11"/>
  <c r="C271" i="12" s="1"/>
  <c r="B605" i="12"/>
  <c r="F580" i="11"/>
  <c r="U579" i="11"/>
  <c r="V579" i="11"/>
  <c r="C580" i="11"/>
  <c r="B581" i="11"/>
  <c r="E580" i="11"/>
  <c r="D580" i="11"/>
  <c r="S580" i="11" s="1"/>
  <c r="T580" i="11" s="1"/>
  <c r="J247" i="11" l="1"/>
  <c r="H247" i="11" s="1"/>
  <c r="B606" i="12"/>
  <c r="F581" i="11"/>
  <c r="U580" i="11"/>
  <c r="V580" i="11"/>
  <c r="D581" i="11"/>
  <c r="S581" i="11" s="1"/>
  <c r="T581" i="11" s="1"/>
  <c r="C581" i="11"/>
  <c r="B582" i="11"/>
  <c r="E581" i="11"/>
  <c r="I247" i="11" l="1"/>
  <c r="B607" i="12"/>
  <c r="F582" i="11"/>
  <c r="V581" i="11"/>
  <c r="U581" i="11"/>
  <c r="C582" i="11"/>
  <c r="B583" i="11"/>
  <c r="E582" i="11"/>
  <c r="D582" i="11"/>
  <c r="S582" i="11" s="1"/>
  <c r="T582" i="11" s="1"/>
  <c r="N247" i="11" l="1"/>
  <c r="K247" i="11"/>
  <c r="G248" i="11" s="1"/>
  <c r="L247" i="11"/>
  <c r="C272" i="12" s="1"/>
  <c r="B608" i="12"/>
  <c r="F583" i="11"/>
  <c r="V582" i="11"/>
  <c r="U582" i="11"/>
  <c r="C583" i="11"/>
  <c r="D583" i="11"/>
  <c r="S583" i="11" s="1"/>
  <c r="T583" i="11" s="1"/>
  <c r="B584" i="11"/>
  <c r="E583" i="11"/>
  <c r="J248" i="11" l="1"/>
  <c r="H248" i="11" s="1"/>
  <c r="B609" i="12"/>
  <c r="F584" i="11"/>
  <c r="V583" i="11"/>
  <c r="U583" i="11"/>
  <c r="C584" i="11"/>
  <c r="B585" i="11"/>
  <c r="E584" i="11"/>
  <c r="D584" i="11"/>
  <c r="S584" i="11" s="1"/>
  <c r="T584" i="11" s="1"/>
  <c r="I248" i="11" l="1"/>
  <c r="B610" i="12"/>
  <c r="F585" i="11"/>
  <c r="V584" i="11"/>
  <c r="U584" i="11"/>
  <c r="D585" i="11"/>
  <c r="S585" i="11" s="1"/>
  <c r="T585" i="11" s="1"/>
  <c r="C585" i="11"/>
  <c r="B586" i="11"/>
  <c r="E585" i="11"/>
  <c r="N248" i="11" l="1"/>
  <c r="K248" i="11"/>
  <c r="G249" i="11" s="1"/>
  <c r="L248" i="11"/>
  <c r="C273" i="12" s="1"/>
  <c r="B611" i="12"/>
  <c r="F586" i="11"/>
  <c r="U585" i="11"/>
  <c r="V585" i="11"/>
  <c r="C586" i="11"/>
  <c r="B587" i="11"/>
  <c r="E586" i="11"/>
  <c r="D586" i="11"/>
  <c r="S586" i="11" s="1"/>
  <c r="T586" i="11" s="1"/>
  <c r="J249" i="11" l="1"/>
  <c r="H249" i="11" s="1"/>
  <c r="B612" i="12"/>
  <c r="F587" i="11"/>
  <c r="V586" i="11"/>
  <c r="U586" i="11"/>
  <c r="C587" i="11"/>
  <c r="D587" i="11"/>
  <c r="S587" i="11" s="1"/>
  <c r="T587" i="11" s="1"/>
  <c r="B588" i="11"/>
  <c r="E587" i="11"/>
  <c r="I249" i="11" l="1"/>
  <c r="B613" i="12"/>
  <c r="F588" i="11"/>
  <c r="V587" i="11"/>
  <c r="U587" i="11"/>
  <c r="C588" i="11"/>
  <c r="B589" i="11"/>
  <c r="E588" i="11"/>
  <c r="D588" i="11"/>
  <c r="S588" i="11" s="1"/>
  <c r="T588" i="11" s="1"/>
  <c r="N249" i="11" l="1"/>
  <c r="K249" i="11"/>
  <c r="G250" i="11" s="1"/>
  <c r="L249" i="11"/>
  <c r="C274" i="12" s="1"/>
  <c r="B614" i="12"/>
  <c r="F589" i="11"/>
  <c r="V588" i="11"/>
  <c r="U588" i="11"/>
  <c r="C589" i="11"/>
  <c r="D589" i="11"/>
  <c r="S589" i="11" s="1"/>
  <c r="T589" i="11" s="1"/>
  <c r="B590" i="11"/>
  <c r="E589" i="11"/>
  <c r="J250" i="11" l="1"/>
  <c r="H250" i="11" s="1"/>
  <c r="B615" i="12"/>
  <c r="F590" i="11"/>
  <c r="U589" i="11"/>
  <c r="V589" i="11"/>
  <c r="C590" i="11"/>
  <c r="B591" i="11"/>
  <c r="E590" i="11"/>
  <c r="D590" i="11"/>
  <c r="S590" i="11" s="1"/>
  <c r="T590" i="11" s="1"/>
  <c r="I250" i="11" l="1"/>
  <c r="B616" i="12"/>
  <c r="F591" i="11"/>
  <c r="U590" i="11"/>
  <c r="V590" i="11"/>
  <c r="C591" i="11"/>
  <c r="D591" i="11"/>
  <c r="S591" i="11" s="1"/>
  <c r="T591" i="11" s="1"/>
  <c r="B592" i="11"/>
  <c r="E591" i="11"/>
  <c r="N250" i="11" l="1"/>
  <c r="K250" i="11"/>
  <c r="G251" i="11" s="1"/>
  <c r="L250" i="11"/>
  <c r="C275" i="12" s="1"/>
  <c r="B617" i="12"/>
  <c r="F592" i="11"/>
  <c r="V591" i="11"/>
  <c r="U591" i="11"/>
  <c r="C592" i="11"/>
  <c r="B593" i="11"/>
  <c r="E592" i="11"/>
  <c r="D592" i="11"/>
  <c r="S592" i="11" s="1"/>
  <c r="T592" i="11" s="1"/>
  <c r="J251" i="11" l="1"/>
  <c r="H251" i="11" s="1"/>
  <c r="B618" i="12"/>
  <c r="F593" i="11"/>
  <c r="V592" i="11"/>
  <c r="U592" i="11"/>
  <c r="C593" i="11"/>
  <c r="D593" i="11"/>
  <c r="S593" i="11" s="1"/>
  <c r="T593" i="11" s="1"/>
  <c r="B594" i="11"/>
  <c r="E593" i="11"/>
  <c r="I251" i="11" l="1"/>
  <c r="B619" i="12"/>
  <c r="F594" i="11"/>
  <c r="V593" i="11"/>
  <c r="U593" i="11"/>
  <c r="C594" i="11"/>
  <c r="B595" i="11"/>
  <c r="E594" i="11"/>
  <c r="D594" i="11"/>
  <c r="S594" i="11" s="1"/>
  <c r="T594" i="11" s="1"/>
  <c r="N251" i="11" l="1"/>
  <c r="K251" i="11"/>
  <c r="G252" i="11" s="1"/>
  <c r="L251" i="11"/>
  <c r="C276" i="12" s="1"/>
  <c r="B620" i="12"/>
  <c r="F595" i="11"/>
  <c r="U594" i="11"/>
  <c r="V594" i="11"/>
  <c r="C595" i="11"/>
  <c r="D595" i="11"/>
  <c r="S595" i="11" s="1"/>
  <c r="T595" i="11" s="1"/>
  <c r="B596" i="11"/>
  <c r="E595" i="11"/>
  <c r="J252" i="11" l="1"/>
  <c r="H252" i="11" s="1"/>
  <c r="B621" i="12"/>
  <c r="F596" i="11"/>
  <c r="V595" i="11"/>
  <c r="U595" i="11"/>
  <c r="C596" i="11"/>
  <c r="B597" i="11"/>
  <c r="E596" i="11"/>
  <c r="D596" i="11"/>
  <c r="S596" i="11" s="1"/>
  <c r="T596" i="11" s="1"/>
  <c r="I252" i="11" l="1"/>
  <c r="B622" i="12"/>
  <c r="F597" i="11"/>
  <c r="U596" i="11"/>
  <c r="V596" i="11"/>
  <c r="C597" i="11"/>
  <c r="D597" i="11"/>
  <c r="S597" i="11" s="1"/>
  <c r="T597" i="11" s="1"/>
  <c r="B598" i="11"/>
  <c r="E597" i="11"/>
  <c r="N252" i="11" l="1"/>
  <c r="K252" i="11"/>
  <c r="G253" i="11" s="1"/>
  <c r="L252" i="11"/>
  <c r="C277" i="12" s="1"/>
  <c r="B623" i="12"/>
  <c r="F598" i="11"/>
  <c r="V597" i="11"/>
  <c r="U597" i="11"/>
  <c r="C598" i="11"/>
  <c r="B599" i="11"/>
  <c r="E598" i="11"/>
  <c r="D598" i="11"/>
  <c r="S598" i="11" s="1"/>
  <c r="T598" i="11" s="1"/>
  <c r="J253" i="11" l="1"/>
  <c r="H253" i="11" s="1"/>
  <c r="I253" i="11" s="1"/>
  <c r="N253" i="11" s="1"/>
  <c r="B624" i="12"/>
  <c r="F599" i="11"/>
  <c r="V598" i="11"/>
  <c r="U598" i="11"/>
  <c r="C599" i="11"/>
  <c r="D599" i="11"/>
  <c r="S599" i="11" s="1"/>
  <c r="T599" i="11" s="1"/>
  <c r="B600" i="11"/>
  <c r="E599" i="11"/>
  <c r="K253" i="11" l="1"/>
  <c r="G254" i="11" s="1"/>
  <c r="L253" i="11"/>
  <c r="C278" i="12" s="1"/>
  <c r="B625" i="12"/>
  <c r="F600" i="11"/>
  <c r="V599" i="11"/>
  <c r="U599" i="11"/>
  <c r="C600" i="11"/>
  <c r="B601" i="11"/>
  <c r="E600" i="11"/>
  <c r="D600" i="11"/>
  <c r="S600" i="11" s="1"/>
  <c r="T600" i="11" s="1"/>
  <c r="J254" i="11" l="1"/>
  <c r="H254" i="11" s="1"/>
  <c r="I254" i="11" s="1"/>
  <c r="N254" i="11" s="1"/>
  <c r="B626" i="12"/>
  <c r="F601" i="11"/>
  <c r="V600" i="11"/>
  <c r="U600" i="11"/>
  <c r="C601" i="11"/>
  <c r="D601" i="11"/>
  <c r="S601" i="11" s="1"/>
  <c r="T601" i="11" s="1"/>
  <c r="B602" i="11"/>
  <c r="E601" i="11"/>
  <c r="K254" i="11" l="1"/>
  <c r="G255" i="11" s="1"/>
  <c r="L254" i="11"/>
  <c r="C279" i="12" s="1"/>
  <c r="B627" i="12"/>
  <c r="F602" i="11"/>
  <c r="V601" i="11"/>
  <c r="U601" i="11"/>
  <c r="C602" i="11"/>
  <c r="B603" i="11"/>
  <c r="E602" i="11"/>
  <c r="D602" i="11"/>
  <c r="S602" i="11" s="1"/>
  <c r="T602" i="11" s="1"/>
  <c r="J255" i="11" l="1"/>
  <c r="H255" i="11" s="1"/>
  <c r="B628" i="12"/>
  <c r="F603" i="11"/>
  <c r="V602" i="11"/>
  <c r="U602" i="11"/>
  <c r="C603" i="11"/>
  <c r="D603" i="11"/>
  <c r="S603" i="11" s="1"/>
  <c r="T603" i="11" s="1"/>
  <c r="B604" i="11"/>
  <c r="E603" i="11"/>
  <c r="I255" i="11" l="1"/>
  <c r="B629" i="12"/>
  <c r="F604" i="11"/>
  <c r="V603" i="11"/>
  <c r="U603" i="11"/>
  <c r="C604" i="11"/>
  <c r="D604" i="11"/>
  <c r="S604" i="11" s="1"/>
  <c r="T604" i="11" s="1"/>
  <c r="B605" i="11"/>
  <c r="E604" i="11"/>
  <c r="N255" i="11" l="1"/>
  <c r="K255" i="11"/>
  <c r="G256" i="11" s="1"/>
  <c r="L255" i="11"/>
  <c r="C280" i="12" s="1"/>
  <c r="B630" i="12"/>
  <c r="F605" i="11"/>
  <c r="V604" i="11"/>
  <c r="U604" i="11"/>
  <c r="C605" i="11"/>
  <c r="D605" i="11"/>
  <c r="S605" i="11" s="1"/>
  <c r="T605" i="11" s="1"/>
  <c r="E605" i="11"/>
  <c r="J256" i="11" l="1"/>
  <c r="H256" i="11" s="1"/>
  <c r="U605" i="11"/>
  <c r="V605" i="11"/>
  <c r="I256" i="11" l="1"/>
  <c r="N256" i="11" l="1"/>
  <c r="K256" i="11"/>
  <c r="G257" i="11" s="1"/>
  <c r="L256" i="11"/>
  <c r="C281" i="12" s="1"/>
  <c r="J257" i="11" l="1"/>
  <c r="H257" i="11" s="1"/>
  <c r="I257" i="11" l="1"/>
  <c r="N257" i="11" l="1"/>
  <c r="K257" i="11"/>
  <c r="G258" i="11" s="1"/>
  <c r="L257" i="11"/>
  <c r="C282" i="12" s="1"/>
  <c r="J258" i="11" l="1"/>
  <c r="H258" i="11" s="1"/>
  <c r="I258" i="11" l="1"/>
  <c r="N258" i="11" l="1"/>
  <c r="K258" i="11"/>
  <c r="G259" i="11" s="1"/>
  <c r="L258" i="11"/>
  <c r="C283" i="12" s="1"/>
  <c r="J259" i="11" l="1"/>
  <c r="H259" i="11" s="1"/>
  <c r="I259" i="11" l="1"/>
  <c r="N259" i="11" l="1"/>
  <c r="K259" i="11"/>
  <c r="G260" i="11" s="1"/>
  <c r="L259" i="11"/>
  <c r="C284" i="12" s="1"/>
  <c r="J260" i="11" l="1"/>
  <c r="H260" i="11" s="1"/>
  <c r="I260" i="11" l="1"/>
  <c r="N260" i="11" l="1"/>
  <c r="K260" i="11"/>
  <c r="G261" i="11" s="1"/>
  <c r="L260" i="11"/>
  <c r="C285" i="12" s="1"/>
  <c r="J261" i="11" l="1"/>
  <c r="H261" i="11" s="1"/>
  <c r="I261" i="11" l="1"/>
  <c r="N261" i="11" l="1"/>
  <c r="K261" i="11"/>
  <c r="G262" i="11" s="1"/>
  <c r="L261" i="11"/>
  <c r="C286" i="12" s="1"/>
  <c r="J262" i="11" l="1"/>
  <c r="H262" i="11" s="1"/>
  <c r="I262" i="11" s="1"/>
  <c r="N262" i="11" s="1"/>
  <c r="K262" i="11" l="1"/>
  <c r="G263" i="11" s="1"/>
  <c r="L262" i="11"/>
  <c r="C287" i="12" s="1"/>
  <c r="J263" i="11" l="1"/>
  <c r="H263" i="11" s="1"/>
  <c r="I263" i="11" l="1"/>
  <c r="N263" i="11" l="1"/>
  <c r="K263" i="11"/>
  <c r="G264" i="11" s="1"/>
  <c r="L263" i="11"/>
  <c r="C288" i="12" s="1"/>
  <c r="J264" i="11" l="1"/>
  <c r="H264" i="11" s="1"/>
  <c r="I264" i="11" l="1"/>
  <c r="N264" i="11" l="1"/>
  <c r="K264" i="11"/>
  <c r="G265" i="11" s="1"/>
  <c r="L264" i="11"/>
  <c r="C289" i="12" s="1"/>
  <c r="J265" i="11" l="1"/>
  <c r="H265" i="11" s="1"/>
  <c r="I265" i="11" l="1"/>
  <c r="N265" i="11" l="1"/>
  <c r="K265" i="11"/>
  <c r="G266" i="11" s="1"/>
  <c r="L265" i="11"/>
  <c r="C290" i="12" s="1"/>
  <c r="J266" i="11" l="1"/>
  <c r="H266" i="11" s="1"/>
  <c r="I266" i="11" l="1"/>
  <c r="N266" i="11" l="1"/>
  <c r="K266" i="11"/>
  <c r="G267" i="11" s="1"/>
  <c r="L266" i="11"/>
  <c r="C291" i="12" s="1"/>
  <c r="J267" i="11" l="1"/>
  <c r="H267" i="11" s="1"/>
  <c r="I267" i="11" l="1"/>
  <c r="N267" i="11" l="1"/>
  <c r="K267" i="11"/>
  <c r="G268" i="11" s="1"/>
  <c r="L267" i="11"/>
  <c r="C292" i="12" s="1"/>
  <c r="J268" i="11" l="1"/>
  <c r="H268" i="11" s="1"/>
  <c r="I268" i="11" l="1"/>
  <c r="N268" i="11" l="1"/>
  <c r="K268" i="11"/>
  <c r="G269" i="11" s="1"/>
  <c r="L268" i="11"/>
  <c r="C293" i="12" s="1"/>
  <c r="J269" i="11" l="1"/>
  <c r="H269" i="11" s="1"/>
  <c r="I269" i="11" l="1"/>
  <c r="N269" i="11" l="1"/>
  <c r="K269" i="11"/>
  <c r="G270" i="11" s="1"/>
  <c r="L269" i="11"/>
  <c r="C294" i="12" s="1"/>
  <c r="J270" i="11" l="1"/>
  <c r="H270" i="11" s="1"/>
  <c r="I270" i="11" l="1"/>
  <c r="N270" i="11" l="1"/>
  <c r="K270" i="11"/>
  <c r="G271" i="11" s="1"/>
  <c r="L270" i="11"/>
  <c r="C295" i="12" s="1"/>
  <c r="J271" i="11" l="1"/>
  <c r="H271" i="11" s="1"/>
  <c r="I271" i="11" l="1"/>
  <c r="N271" i="11" l="1"/>
  <c r="K271" i="11"/>
  <c r="G272" i="11" s="1"/>
  <c r="L271" i="11"/>
  <c r="C296" i="12" s="1"/>
  <c r="J272" i="11" l="1"/>
  <c r="H272" i="11" s="1"/>
  <c r="I272" i="11" l="1"/>
  <c r="N272" i="11" l="1"/>
  <c r="K272" i="11"/>
  <c r="G273" i="11" s="1"/>
  <c r="L272" i="11"/>
  <c r="C297" i="12" s="1"/>
  <c r="J273" i="11" l="1"/>
  <c r="H273" i="11" s="1"/>
  <c r="I273" i="11" l="1"/>
  <c r="N273" i="11" l="1"/>
  <c r="K273" i="11"/>
  <c r="G274" i="11" s="1"/>
  <c r="L273" i="11"/>
  <c r="C298" i="12" s="1"/>
  <c r="J274" i="11" l="1"/>
  <c r="H274" i="11" s="1"/>
  <c r="I274" i="11" l="1"/>
  <c r="N274" i="11" l="1"/>
  <c r="K274" i="11"/>
  <c r="G275" i="11" s="1"/>
  <c r="L274" i="11"/>
  <c r="C299" i="12" s="1"/>
  <c r="J275" i="11" l="1"/>
  <c r="H275" i="11" s="1"/>
  <c r="I275" i="11" l="1"/>
  <c r="N275" i="11" l="1"/>
  <c r="K275" i="11"/>
  <c r="G276" i="11" s="1"/>
  <c r="L275" i="11"/>
  <c r="C300" i="12" s="1"/>
  <c r="J276" i="11" l="1"/>
  <c r="H276" i="11" s="1"/>
  <c r="I276" i="11" l="1"/>
  <c r="N276" i="11" l="1"/>
  <c r="K276" i="11"/>
  <c r="G277" i="11" s="1"/>
  <c r="L276" i="11"/>
  <c r="C301" i="12" s="1"/>
  <c r="J277" i="11" l="1"/>
  <c r="H277" i="11" s="1"/>
  <c r="I277" i="11" l="1"/>
  <c r="N277" i="11" l="1"/>
  <c r="K277" i="11"/>
  <c r="G278" i="11" s="1"/>
  <c r="L277" i="11"/>
  <c r="C302" i="12" s="1"/>
  <c r="J278" i="11" l="1"/>
  <c r="H278" i="11" s="1"/>
  <c r="I278" i="11" l="1"/>
  <c r="N278" i="11" l="1"/>
  <c r="K278" i="11"/>
  <c r="G279" i="11" s="1"/>
  <c r="L278" i="11"/>
  <c r="C303" i="12" s="1"/>
  <c r="J279" i="11" l="1"/>
  <c r="H279" i="11" s="1"/>
  <c r="I279" i="11" l="1"/>
  <c r="N279" i="11" l="1"/>
  <c r="K279" i="11"/>
  <c r="G280" i="11" s="1"/>
  <c r="L279" i="11"/>
  <c r="C304" i="12" s="1"/>
  <c r="J280" i="11" l="1"/>
  <c r="H280" i="11" s="1"/>
  <c r="I280" i="11" l="1"/>
  <c r="N280" i="11" l="1"/>
  <c r="K280" i="11"/>
  <c r="G281" i="11" s="1"/>
  <c r="L280" i="11"/>
  <c r="C305" i="12" s="1"/>
  <c r="J281" i="11" l="1"/>
  <c r="H281" i="11" s="1"/>
  <c r="I281" i="11" l="1"/>
  <c r="N281" i="11" l="1"/>
  <c r="K281" i="11"/>
  <c r="G282" i="11" s="1"/>
  <c r="L281" i="11"/>
  <c r="C306" i="12" s="1"/>
  <c r="J282" i="11" l="1"/>
  <c r="H282" i="11" s="1"/>
  <c r="I282" i="11" l="1"/>
  <c r="N282" i="11" l="1"/>
  <c r="K282" i="11"/>
  <c r="G283" i="11" s="1"/>
  <c r="L282" i="11"/>
  <c r="C307" i="12" s="1"/>
  <c r="J283" i="11" l="1"/>
  <c r="H283" i="11" s="1"/>
  <c r="I283" i="11" l="1"/>
  <c r="N283" i="11" l="1"/>
  <c r="K283" i="11"/>
  <c r="G284" i="11" s="1"/>
  <c r="L283" i="11"/>
  <c r="C308" i="12" s="1"/>
  <c r="J284" i="11" l="1"/>
  <c r="H284" i="11" s="1"/>
  <c r="I284" i="11" l="1"/>
  <c r="N284" i="11" l="1"/>
  <c r="K284" i="11"/>
  <c r="G285" i="11" s="1"/>
  <c r="L284" i="11"/>
  <c r="C309" i="12" s="1"/>
  <c r="J285" i="11" l="1"/>
  <c r="H285" i="11" s="1"/>
  <c r="I285" i="11" l="1"/>
  <c r="N285" i="11" l="1"/>
  <c r="K285" i="11"/>
  <c r="G286" i="11" s="1"/>
  <c r="L285" i="11"/>
  <c r="C310" i="12" s="1"/>
  <c r="J286" i="11" l="1"/>
  <c r="H286" i="11" s="1"/>
  <c r="I286" i="11" l="1"/>
  <c r="N286" i="11" l="1"/>
  <c r="K286" i="11"/>
  <c r="G287" i="11" s="1"/>
  <c r="L286" i="11"/>
  <c r="C311" i="12" s="1"/>
  <c r="J287" i="11" l="1"/>
  <c r="H287" i="11"/>
  <c r="I287" i="11" s="1"/>
  <c r="N287" i="11" s="1"/>
  <c r="K287" i="11" l="1"/>
  <c r="G288" i="11" s="1"/>
  <c r="L287" i="11"/>
  <c r="C312" i="12" s="1"/>
  <c r="J288" i="11" l="1"/>
  <c r="H288" i="11" s="1"/>
  <c r="I288" i="11" l="1"/>
  <c r="N288" i="11" l="1"/>
  <c r="K288" i="11"/>
  <c r="G289" i="11" s="1"/>
  <c r="L288" i="11"/>
  <c r="C313" i="12" s="1"/>
  <c r="J289" i="11" l="1"/>
  <c r="H289" i="11" s="1"/>
  <c r="I289" i="11" l="1"/>
  <c r="N289" i="11" l="1"/>
  <c r="K289" i="11"/>
  <c r="G290" i="11" s="1"/>
  <c r="L289" i="11"/>
  <c r="C314" i="12" s="1"/>
  <c r="J290" i="11" l="1"/>
  <c r="H290" i="11" s="1"/>
  <c r="I290" i="11" l="1"/>
  <c r="N290" i="11" l="1"/>
  <c r="K290" i="11"/>
  <c r="G291" i="11" s="1"/>
  <c r="L290" i="11"/>
  <c r="C315" i="12" s="1"/>
  <c r="J291" i="11" l="1"/>
  <c r="H291" i="11" s="1"/>
  <c r="I291" i="11" l="1"/>
  <c r="N291" i="11" l="1"/>
  <c r="K291" i="11"/>
  <c r="G292" i="11" s="1"/>
  <c r="L291" i="11"/>
  <c r="C316" i="12" s="1"/>
  <c r="J292" i="11" l="1"/>
  <c r="H292" i="11" s="1"/>
  <c r="I292" i="11" l="1"/>
  <c r="N292" i="11" l="1"/>
  <c r="K292" i="11"/>
  <c r="G293" i="11" s="1"/>
  <c r="L292" i="11"/>
  <c r="C317" i="12" s="1"/>
  <c r="J293" i="11" l="1"/>
  <c r="H293" i="11" s="1"/>
  <c r="I293" i="11" l="1"/>
  <c r="N293" i="11" l="1"/>
  <c r="K293" i="11"/>
  <c r="G294" i="11" s="1"/>
  <c r="L293" i="11"/>
  <c r="C318" i="12" s="1"/>
  <c r="J294" i="11" l="1"/>
  <c r="H294" i="11" s="1"/>
  <c r="I294" i="11" l="1"/>
  <c r="N294" i="11" l="1"/>
  <c r="K294" i="11"/>
  <c r="G295" i="11" s="1"/>
  <c r="L294" i="11"/>
  <c r="C319" i="12" s="1"/>
  <c r="J295" i="11" l="1"/>
  <c r="H295" i="11" s="1"/>
  <c r="I295" i="11" l="1"/>
  <c r="N295" i="11" l="1"/>
  <c r="K295" i="11"/>
  <c r="G296" i="11" s="1"/>
  <c r="L295" i="11"/>
  <c r="C320" i="12" s="1"/>
  <c r="J296" i="11" l="1"/>
  <c r="H296" i="11" s="1"/>
  <c r="I296" i="11" l="1"/>
  <c r="N296" i="11" l="1"/>
  <c r="K296" i="11"/>
  <c r="G297" i="11" s="1"/>
  <c r="L296" i="11"/>
  <c r="C321" i="12" s="1"/>
  <c r="J297" i="11" l="1"/>
  <c r="H297" i="11" s="1"/>
  <c r="I297" i="11" s="1"/>
  <c r="N297" i="11" s="1"/>
  <c r="K297" i="11" l="1"/>
  <c r="G298" i="11" s="1"/>
  <c r="L297" i="11"/>
  <c r="C322" i="12" s="1"/>
  <c r="J298" i="11" l="1"/>
  <c r="H298" i="11" s="1"/>
  <c r="I298" i="11" l="1"/>
  <c r="N298" i="11" l="1"/>
  <c r="K298" i="11"/>
  <c r="G299" i="11" s="1"/>
  <c r="L298" i="11"/>
  <c r="C323" i="12" s="1"/>
  <c r="J299" i="11" l="1"/>
  <c r="H299" i="11" s="1"/>
  <c r="I299" i="11" l="1"/>
  <c r="J366" i="11"/>
  <c r="I366" i="11" s="1"/>
  <c r="N366" i="11"/>
  <c r="K366" i="11"/>
  <c r="G367" i="11" s="1"/>
  <c r="L366" i="11"/>
  <c r="C391" i="12" s="1"/>
  <c r="N299" i="11" l="1"/>
  <c r="K299" i="11"/>
  <c r="G300" i="11" s="1"/>
  <c r="L299" i="11"/>
  <c r="C324" i="12" s="1"/>
  <c r="J367" i="11"/>
  <c r="I367" i="11" s="1"/>
  <c r="N367" i="11" s="1"/>
  <c r="H367" i="11"/>
  <c r="K367" i="11"/>
  <c r="G368" i="11" s="1"/>
  <c r="H368" i="11" s="1"/>
  <c r="L367" i="11"/>
  <c r="C392" i="12" s="1"/>
  <c r="J368" i="11"/>
  <c r="J300" i="11" l="1"/>
  <c r="H300" i="11" s="1"/>
  <c r="I300" i="11" s="1"/>
  <c r="N300" i="11" s="1"/>
  <c r="I368" i="11"/>
  <c r="N368" i="11" s="1"/>
  <c r="K300" i="11" l="1"/>
  <c r="G301" i="11" s="1"/>
  <c r="L300" i="11"/>
  <c r="C325" i="12" s="1"/>
  <c r="K368" i="11"/>
  <c r="G369" i="11" s="1"/>
  <c r="H369" i="11" s="1"/>
  <c r="L368" i="11"/>
  <c r="C393" i="12" s="1"/>
  <c r="J369" i="11"/>
  <c r="J301" i="11" l="1"/>
  <c r="H301" i="11" s="1"/>
  <c r="I301" i="11" s="1"/>
  <c r="N301" i="11" s="1"/>
  <c r="I369" i="11"/>
  <c r="N369" i="11" s="1"/>
  <c r="K301" i="11" l="1"/>
  <c r="G302" i="11" s="1"/>
  <c r="L301" i="11"/>
  <c r="C326" i="12" s="1"/>
  <c r="K369" i="11"/>
  <c r="G370" i="11" s="1"/>
  <c r="H370" i="11" s="1"/>
  <c r="L369" i="11"/>
  <c r="C394" i="12" s="1"/>
  <c r="J370" i="11"/>
  <c r="J302" i="11" l="1"/>
  <c r="H302" i="11" s="1"/>
  <c r="I302" i="11" s="1"/>
  <c r="N302" i="11" s="1"/>
  <c r="I370" i="11"/>
  <c r="N370" i="11" s="1"/>
  <c r="K302" i="11" l="1"/>
  <c r="G303" i="11" s="1"/>
  <c r="L302" i="11"/>
  <c r="C327" i="12" s="1"/>
  <c r="K370" i="11"/>
  <c r="G371" i="11" s="1"/>
  <c r="H371" i="11" s="1"/>
  <c r="L370" i="11"/>
  <c r="C395" i="12" s="1"/>
  <c r="J371" i="11"/>
  <c r="J303" i="11" l="1"/>
  <c r="H303" i="11" s="1"/>
  <c r="I303" i="11" s="1"/>
  <c r="N303" i="11" s="1"/>
  <c r="I371" i="11"/>
  <c r="N371" i="11" s="1"/>
  <c r="K303" i="11" l="1"/>
  <c r="G304" i="11" s="1"/>
  <c r="L303" i="11"/>
  <c r="C328" i="12" s="1"/>
  <c r="K371" i="11"/>
  <c r="G372" i="11" s="1"/>
  <c r="H372" i="11" s="1"/>
  <c r="L371" i="11"/>
  <c r="C396" i="12" s="1"/>
  <c r="J372" i="11"/>
  <c r="J304" i="11" l="1"/>
  <c r="H304" i="11" s="1"/>
  <c r="I372" i="11"/>
  <c r="N372" i="11" s="1"/>
  <c r="I304" i="11" l="1"/>
  <c r="K372" i="11"/>
  <c r="G373" i="11" s="1"/>
  <c r="H373" i="11" s="1"/>
  <c r="L372" i="11"/>
  <c r="C397" i="12" s="1"/>
  <c r="J373" i="11"/>
  <c r="N304" i="11" l="1"/>
  <c r="K304" i="11"/>
  <c r="G305" i="11" s="1"/>
  <c r="L304" i="11"/>
  <c r="C329" i="12" s="1"/>
  <c r="I373" i="11"/>
  <c r="N373" i="11" s="1"/>
  <c r="J305" i="11" l="1"/>
  <c r="H305" i="11"/>
  <c r="I305" i="11" s="1"/>
  <c r="N305" i="11" s="1"/>
  <c r="K373" i="11"/>
  <c r="G374" i="11" s="1"/>
  <c r="H374" i="11" s="1"/>
  <c r="L373" i="11"/>
  <c r="C398" i="12" s="1"/>
  <c r="J374" i="11"/>
  <c r="K305" i="11" l="1"/>
  <c r="G306" i="11" s="1"/>
  <c r="L305" i="11"/>
  <c r="C330" i="12" s="1"/>
  <c r="I374" i="11"/>
  <c r="N374" i="11" s="1"/>
  <c r="J306" i="11" l="1"/>
  <c r="H306" i="11" s="1"/>
  <c r="K374" i="11"/>
  <c r="G375" i="11" s="1"/>
  <c r="H375" i="11" s="1"/>
  <c r="L374" i="11"/>
  <c r="C399" i="12" s="1"/>
  <c r="J375" i="11"/>
  <c r="I306" i="11" l="1"/>
  <c r="I375" i="11"/>
  <c r="N375" i="11" s="1"/>
  <c r="N306" i="11" l="1"/>
  <c r="K306" i="11"/>
  <c r="G307" i="11" s="1"/>
  <c r="L306" i="11"/>
  <c r="C331" i="12" s="1"/>
  <c r="K375" i="11"/>
  <c r="G376" i="11" s="1"/>
  <c r="L375" i="11"/>
  <c r="C400" i="12" s="1"/>
  <c r="J307" i="11" l="1"/>
  <c r="H307" i="11" s="1"/>
  <c r="J376" i="11"/>
  <c r="I376" i="11" s="1"/>
  <c r="H376" i="11"/>
  <c r="N376" i="11"/>
  <c r="K376" i="11"/>
  <c r="G377" i="11" s="1"/>
  <c r="H377" i="11" s="1"/>
  <c r="L376" i="11"/>
  <c r="C401" i="12" s="1"/>
  <c r="J377" i="11"/>
  <c r="I307" i="11" l="1"/>
  <c r="I377" i="11"/>
  <c r="N377" i="11" s="1"/>
  <c r="K377" i="11"/>
  <c r="G378" i="11" s="1"/>
  <c r="H378" i="11" s="1"/>
  <c r="N307" i="11" l="1"/>
  <c r="K307" i="11"/>
  <c r="G308" i="11" s="1"/>
  <c r="L307" i="11"/>
  <c r="C332" i="12" s="1"/>
  <c r="L377" i="11"/>
  <c r="C402" i="12" s="1"/>
  <c r="J378" i="11"/>
  <c r="J308" i="11" l="1"/>
  <c r="H308" i="11" s="1"/>
  <c r="I378" i="11"/>
  <c r="N378" i="11" s="1"/>
  <c r="I308" i="11" l="1"/>
  <c r="K378" i="11"/>
  <c r="G379" i="11" s="1"/>
  <c r="H379" i="11" s="1"/>
  <c r="L378" i="11"/>
  <c r="C403" i="12" s="1"/>
  <c r="J379" i="11"/>
  <c r="N308" i="11" l="1"/>
  <c r="K308" i="11"/>
  <c r="G309" i="11" s="1"/>
  <c r="L308" i="11"/>
  <c r="C333" i="12" s="1"/>
  <c r="I379" i="11"/>
  <c r="N379" i="11" s="1"/>
  <c r="J309" i="11" l="1"/>
  <c r="H309" i="11" s="1"/>
  <c r="I309" i="11" s="1"/>
  <c r="N309" i="11" s="1"/>
  <c r="K379" i="11"/>
  <c r="G380" i="11" s="1"/>
  <c r="H380" i="11" s="1"/>
  <c r="L379" i="11"/>
  <c r="C404" i="12" s="1"/>
  <c r="J380" i="11"/>
  <c r="K309" i="11" l="1"/>
  <c r="G310" i="11" s="1"/>
  <c r="L309" i="11"/>
  <c r="C334" i="12" s="1"/>
  <c r="I380" i="11"/>
  <c r="N380" i="11" s="1"/>
  <c r="J310" i="11" l="1"/>
  <c r="H310" i="11" s="1"/>
  <c r="K380" i="11"/>
  <c r="G381" i="11" s="1"/>
  <c r="H381" i="11" s="1"/>
  <c r="L380" i="11"/>
  <c r="C405" i="12" s="1"/>
  <c r="J381" i="11"/>
  <c r="I310" i="11" l="1"/>
  <c r="I381" i="11"/>
  <c r="N381" i="11" s="1"/>
  <c r="N310" i="11" l="1"/>
  <c r="K310" i="11"/>
  <c r="G311" i="11" s="1"/>
  <c r="L310" i="11"/>
  <c r="C335" i="12" s="1"/>
  <c r="K381" i="11"/>
  <c r="G382" i="11" s="1"/>
  <c r="H382" i="11" s="1"/>
  <c r="L381" i="11"/>
  <c r="C406" i="12" s="1"/>
  <c r="J382" i="11"/>
  <c r="J311" i="11" l="1"/>
  <c r="H311" i="11" s="1"/>
  <c r="I382" i="11"/>
  <c r="N382" i="11" s="1"/>
  <c r="I311" i="11" l="1"/>
  <c r="K382" i="11"/>
  <c r="G383" i="11" s="1"/>
  <c r="H383" i="11" s="1"/>
  <c r="L382" i="11"/>
  <c r="C407" i="12" s="1"/>
  <c r="J383" i="11"/>
  <c r="N311" i="11" l="1"/>
  <c r="K311" i="11"/>
  <c r="G312" i="11" s="1"/>
  <c r="L311" i="11"/>
  <c r="C336" i="12" s="1"/>
  <c r="I383" i="11"/>
  <c r="N383" i="11" s="1"/>
  <c r="J312" i="11" l="1"/>
  <c r="H312" i="11" s="1"/>
  <c r="K383" i="11"/>
  <c r="G384" i="11" s="1"/>
  <c r="H384" i="11" s="1"/>
  <c r="L383" i="11"/>
  <c r="C408" i="12" s="1"/>
  <c r="J384" i="11"/>
  <c r="I312" i="11" l="1"/>
  <c r="I384" i="11"/>
  <c r="N384" i="11" s="1"/>
  <c r="N312" i="11" l="1"/>
  <c r="K312" i="11"/>
  <c r="G313" i="11" s="1"/>
  <c r="L312" i="11"/>
  <c r="C337" i="12" s="1"/>
  <c r="K384" i="11"/>
  <c r="G385" i="11" s="1"/>
  <c r="H385" i="11" s="1"/>
  <c r="L384" i="11"/>
  <c r="C409" i="12" s="1"/>
  <c r="J385" i="11"/>
  <c r="J313" i="11" l="1"/>
  <c r="H313" i="11" s="1"/>
  <c r="I313" i="11" s="1"/>
  <c r="N313" i="11" s="1"/>
  <c r="I385" i="11"/>
  <c r="N385" i="11" s="1"/>
  <c r="K313" i="11" l="1"/>
  <c r="G314" i="11" s="1"/>
  <c r="L313" i="11"/>
  <c r="C338" i="12" s="1"/>
  <c r="K385" i="11"/>
  <c r="G386" i="11" s="1"/>
  <c r="H386" i="11" s="1"/>
  <c r="L385" i="11"/>
  <c r="C410" i="12" s="1"/>
  <c r="J386" i="11"/>
  <c r="J314" i="11" l="1"/>
  <c r="H314" i="11" s="1"/>
  <c r="I386" i="11"/>
  <c r="N386" i="11" s="1"/>
  <c r="I314" i="11" l="1"/>
  <c r="K386" i="11"/>
  <c r="G387" i="11" s="1"/>
  <c r="H387" i="11" s="1"/>
  <c r="L386" i="11"/>
  <c r="C411" i="12" s="1"/>
  <c r="J387" i="11"/>
  <c r="N314" i="11" l="1"/>
  <c r="K314" i="11"/>
  <c r="G315" i="11" s="1"/>
  <c r="L314" i="11"/>
  <c r="C339" i="12" s="1"/>
  <c r="I387" i="11"/>
  <c r="N387" i="11" s="1"/>
  <c r="J315" i="11" l="1"/>
  <c r="H315" i="11" s="1"/>
  <c r="K387" i="11"/>
  <c r="G388" i="11" s="1"/>
  <c r="H388" i="11" s="1"/>
  <c r="L387" i="11"/>
  <c r="C412" i="12" s="1"/>
  <c r="J388" i="11"/>
  <c r="I315" i="11" l="1"/>
  <c r="I388" i="11"/>
  <c r="N388" i="11" s="1"/>
  <c r="K388" i="11"/>
  <c r="G389" i="11" s="1"/>
  <c r="H389" i="11" s="1"/>
  <c r="N315" i="11" l="1"/>
  <c r="K315" i="11"/>
  <c r="G316" i="11" s="1"/>
  <c r="L315" i="11"/>
  <c r="C340" i="12" s="1"/>
  <c r="L388" i="11"/>
  <c r="C413" i="12" s="1"/>
  <c r="J389" i="11"/>
  <c r="J316" i="11" l="1"/>
  <c r="H316" i="11" s="1"/>
  <c r="I389" i="11"/>
  <c r="N389" i="11" s="1"/>
  <c r="K389" i="11"/>
  <c r="G390" i="11" s="1"/>
  <c r="H390" i="11" s="1"/>
  <c r="I316" i="11" l="1"/>
  <c r="L389" i="11"/>
  <c r="C414" i="12" s="1"/>
  <c r="J390" i="11"/>
  <c r="N316" i="11" l="1"/>
  <c r="K316" i="11"/>
  <c r="G317" i="11" s="1"/>
  <c r="L316" i="11"/>
  <c r="C341" i="12" s="1"/>
  <c r="I390" i="11"/>
  <c r="N390" i="11" s="1"/>
  <c r="J317" i="11" l="1"/>
  <c r="H317" i="11" s="1"/>
  <c r="K390" i="11"/>
  <c r="G391" i="11" s="1"/>
  <c r="H391" i="11" s="1"/>
  <c r="L390" i="11"/>
  <c r="C415" i="12" s="1"/>
  <c r="J391" i="11"/>
  <c r="I317" i="11" l="1"/>
  <c r="I391" i="11"/>
  <c r="N391" i="11" s="1"/>
  <c r="N317" i="11" l="1"/>
  <c r="K317" i="11"/>
  <c r="G318" i="11" s="1"/>
  <c r="L317" i="11"/>
  <c r="C342" i="12" s="1"/>
  <c r="K391" i="11"/>
  <c r="G392" i="11" s="1"/>
  <c r="H392" i="11" s="1"/>
  <c r="L391" i="11"/>
  <c r="C416" i="12" s="1"/>
  <c r="J392" i="11"/>
  <c r="J318" i="11" l="1"/>
  <c r="H318" i="11" s="1"/>
  <c r="I318" i="11" s="1"/>
  <c r="N318" i="11" s="1"/>
  <c r="I392" i="11"/>
  <c r="N392" i="11" s="1"/>
  <c r="K318" i="11" l="1"/>
  <c r="G319" i="11" s="1"/>
  <c r="L318" i="11"/>
  <c r="C343" i="12" s="1"/>
  <c r="K392" i="11"/>
  <c r="G393" i="11" s="1"/>
  <c r="H393" i="11" s="1"/>
  <c r="L392" i="11"/>
  <c r="C417" i="12" s="1"/>
  <c r="J393" i="11"/>
  <c r="J319" i="11" l="1"/>
  <c r="H319" i="11" s="1"/>
  <c r="I393" i="11"/>
  <c r="N393" i="11" s="1"/>
  <c r="K393" i="11"/>
  <c r="G394" i="11" s="1"/>
  <c r="H394" i="11" s="1"/>
  <c r="I319" i="11" l="1"/>
  <c r="L393" i="11"/>
  <c r="C418" i="12" s="1"/>
  <c r="J394" i="11"/>
  <c r="N319" i="11" l="1"/>
  <c r="K319" i="11"/>
  <c r="G320" i="11" s="1"/>
  <c r="L319" i="11"/>
  <c r="C344" i="12" s="1"/>
  <c r="I394" i="11"/>
  <c r="N394" i="11" s="1"/>
  <c r="J320" i="11" l="1"/>
  <c r="H320" i="11" s="1"/>
  <c r="K394" i="11"/>
  <c r="G395" i="11" s="1"/>
  <c r="H395" i="11" s="1"/>
  <c r="L394" i="11"/>
  <c r="C419" i="12" s="1"/>
  <c r="J395" i="11"/>
  <c r="I320" i="11" l="1"/>
  <c r="I395" i="11"/>
  <c r="N395" i="11" s="1"/>
  <c r="K395" i="11"/>
  <c r="G396" i="11" s="1"/>
  <c r="H396" i="11" s="1"/>
  <c r="N320" i="11" l="1"/>
  <c r="K320" i="11"/>
  <c r="G321" i="11" s="1"/>
  <c r="L320" i="11"/>
  <c r="C345" i="12" s="1"/>
  <c r="L395" i="11"/>
  <c r="C420" i="12" s="1"/>
  <c r="J396" i="11"/>
  <c r="J321" i="11" l="1"/>
  <c r="H321" i="11" s="1"/>
  <c r="I396" i="11"/>
  <c r="N396" i="11" s="1"/>
  <c r="I321" i="11" l="1"/>
  <c r="K396" i="11"/>
  <c r="G397" i="11" s="1"/>
  <c r="H397" i="11" s="1"/>
  <c r="L396" i="11"/>
  <c r="C421" i="12" s="1"/>
  <c r="J397" i="11"/>
  <c r="N321" i="11" l="1"/>
  <c r="K321" i="11"/>
  <c r="G322" i="11" s="1"/>
  <c r="L321" i="11"/>
  <c r="C346" i="12" s="1"/>
  <c r="I397" i="11"/>
  <c r="N397" i="11" s="1"/>
  <c r="J322" i="11" l="1"/>
  <c r="H322" i="11" s="1"/>
  <c r="K397" i="11"/>
  <c r="G398" i="11" s="1"/>
  <c r="H398" i="11" s="1"/>
  <c r="L397" i="11"/>
  <c r="C422" i="12" s="1"/>
  <c r="J398" i="11"/>
  <c r="I322" i="11" l="1"/>
  <c r="I398" i="11"/>
  <c r="N398" i="11" s="1"/>
  <c r="N322" i="11" l="1"/>
  <c r="K322" i="11"/>
  <c r="G323" i="11" s="1"/>
  <c r="L322" i="11"/>
  <c r="C347" i="12" s="1"/>
  <c r="K398" i="11"/>
  <c r="G399" i="11" s="1"/>
  <c r="H399" i="11" s="1"/>
  <c r="L398" i="11"/>
  <c r="C423" i="12" s="1"/>
  <c r="J399" i="11"/>
  <c r="J323" i="11" l="1"/>
  <c r="H323" i="11"/>
  <c r="I323" i="11" s="1"/>
  <c r="N323" i="11" s="1"/>
  <c r="I399" i="11"/>
  <c r="N399" i="11" s="1"/>
  <c r="K323" i="11" l="1"/>
  <c r="G324" i="11" s="1"/>
  <c r="L323" i="11"/>
  <c r="C348" i="12" s="1"/>
  <c r="K399" i="11"/>
  <c r="G400" i="11" s="1"/>
  <c r="H400" i="11" s="1"/>
  <c r="L399" i="11"/>
  <c r="C424" i="12" s="1"/>
  <c r="J400" i="11"/>
  <c r="J324" i="11" l="1"/>
  <c r="H324" i="11"/>
  <c r="I324" i="11" s="1"/>
  <c r="N324" i="11" s="1"/>
  <c r="I400" i="11"/>
  <c r="N400" i="11" s="1"/>
  <c r="K324" i="11" l="1"/>
  <c r="G325" i="11" s="1"/>
  <c r="L324" i="11"/>
  <c r="C349" i="12" s="1"/>
  <c r="K400" i="11"/>
  <c r="G401" i="11" s="1"/>
  <c r="H401" i="11" s="1"/>
  <c r="L400" i="11"/>
  <c r="C425" i="12" s="1"/>
  <c r="J401" i="11"/>
  <c r="J325" i="11" l="1"/>
  <c r="H325" i="11" s="1"/>
  <c r="I401" i="11"/>
  <c r="N401" i="11" s="1"/>
  <c r="I325" i="11" l="1"/>
  <c r="K401" i="11"/>
  <c r="G402" i="11" s="1"/>
  <c r="H402" i="11" s="1"/>
  <c r="L401" i="11"/>
  <c r="C426" i="12" s="1"/>
  <c r="J402" i="11"/>
  <c r="N325" i="11" l="1"/>
  <c r="K325" i="11"/>
  <c r="G326" i="11" s="1"/>
  <c r="L325" i="11"/>
  <c r="C350" i="12" s="1"/>
  <c r="I402" i="11"/>
  <c r="N402" i="11" s="1"/>
  <c r="J326" i="11" l="1"/>
  <c r="H326" i="11" s="1"/>
  <c r="K402" i="11"/>
  <c r="G403" i="11" s="1"/>
  <c r="H403" i="11" s="1"/>
  <c r="L402" i="11"/>
  <c r="C427" i="12" s="1"/>
  <c r="J403" i="11"/>
  <c r="I326" i="11" l="1"/>
  <c r="I403" i="11"/>
  <c r="N403" i="11" s="1"/>
  <c r="N326" i="11" l="1"/>
  <c r="K326" i="11"/>
  <c r="G327" i="11" s="1"/>
  <c r="L326" i="11"/>
  <c r="C351" i="12" s="1"/>
  <c r="K403" i="11"/>
  <c r="G404" i="11" s="1"/>
  <c r="H404" i="11" s="1"/>
  <c r="L403" i="11"/>
  <c r="C428" i="12" s="1"/>
  <c r="J404" i="11"/>
  <c r="J327" i="11" l="1"/>
  <c r="H327" i="11" s="1"/>
  <c r="I404" i="11"/>
  <c r="N404" i="11" s="1"/>
  <c r="I327" i="11" l="1"/>
  <c r="K404" i="11"/>
  <c r="G405" i="11" s="1"/>
  <c r="H405" i="11" s="1"/>
  <c r="L404" i="11"/>
  <c r="C429" i="12" s="1"/>
  <c r="J405" i="11"/>
  <c r="N327" i="11" l="1"/>
  <c r="K327" i="11"/>
  <c r="G328" i="11" s="1"/>
  <c r="L327" i="11"/>
  <c r="C352" i="12" s="1"/>
  <c r="I405" i="11"/>
  <c r="N405" i="11" s="1"/>
  <c r="J328" i="11" l="1"/>
  <c r="H328" i="11" s="1"/>
  <c r="K405" i="11"/>
  <c r="G406" i="11" s="1"/>
  <c r="H406" i="11" s="1"/>
  <c r="L405" i="11"/>
  <c r="C430" i="12" s="1"/>
  <c r="J406" i="11"/>
  <c r="I328" i="11" l="1"/>
  <c r="I406" i="11"/>
  <c r="N406" i="11" s="1"/>
  <c r="N328" i="11" l="1"/>
  <c r="K328" i="11"/>
  <c r="G329" i="11" s="1"/>
  <c r="L328" i="11"/>
  <c r="C353" i="12" s="1"/>
  <c r="K406" i="11"/>
  <c r="G407" i="11" s="1"/>
  <c r="H407" i="11" s="1"/>
  <c r="L406" i="11"/>
  <c r="C431" i="12" s="1"/>
  <c r="J407" i="11"/>
  <c r="J329" i="11" l="1"/>
  <c r="H329" i="11" s="1"/>
  <c r="I329" i="11" s="1"/>
  <c r="N329" i="11" s="1"/>
  <c r="I407" i="11"/>
  <c r="N407" i="11" s="1"/>
  <c r="K329" i="11" l="1"/>
  <c r="G330" i="11" s="1"/>
  <c r="L329" i="11"/>
  <c r="C354" i="12" s="1"/>
  <c r="K407" i="11"/>
  <c r="G408" i="11" s="1"/>
  <c r="H408" i="11" s="1"/>
  <c r="L407" i="11"/>
  <c r="C432" i="12" s="1"/>
  <c r="J408" i="11"/>
  <c r="J330" i="11" l="1"/>
  <c r="H330" i="11" s="1"/>
  <c r="I408" i="11"/>
  <c r="N408" i="11" s="1"/>
  <c r="I330" i="11" l="1"/>
  <c r="K408" i="11"/>
  <c r="G409" i="11" s="1"/>
  <c r="H409" i="11" s="1"/>
  <c r="L408" i="11"/>
  <c r="C433" i="12" s="1"/>
  <c r="J409" i="11"/>
  <c r="N330" i="11" l="1"/>
  <c r="K330" i="11"/>
  <c r="G331" i="11" s="1"/>
  <c r="L330" i="11"/>
  <c r="C355" i="12" s="1"/>
  <c r="I409" i="11"/>
  <c r="N409" i="11" s="1"/>
  <c r="J331" i="11" l="1"/>
  <c r="H331" i="11" s="1"/>
  <c r="I331" i="11" s="1"/>
  <c r="N331" i="11" s="1"/>
  <c r="K409" i="11"/>
  <c r="G410" i="11" s="1"/>
  <c r="H410" i="11" s="1"/>
  <c r="L409" i="11"/>
  <c r="C434" i="12" s="1"/>
  <c r="J410" i="11"/>
  <c r="K331" i="11" l="1"/>
  <c r="G332" i="11" s="1"/>
  <c r="L331" i="11"/>
  <c r="C356" i="12" s="1"/>
  <c r="I410" i="11"/>
  <c r="N410" i="11" s="1"/>
  <c r="J332" i="11" l="1"/>
  <c r="H332" i="11" s="1"/>
  <c r="K410" i="11"/>
  <c r="G411" i="11" s="1"/>
  <c r="H411" i="11" s="1"/>
  <c r="L410" i="11"/>
  <c r="C435" i="12" s="1"/>
  <c r="J411" i="11"/>
  <c r="I332" i="11" l="1"/>
  <c r="I411" i="11"/>
  <c r="N411" i="11" s="1"/>
  <c r="N332" i="11" l="1"/>
  <c r="K332" i="11"/>
  <c r="G333" i="11" s="1"/>
  <c r="L332" i="11"/>
  <c r="C357" i="12" s="1"/>
  <c r="K411" i="11"/>
  <c r="G412" i="11" s="1"/>
  <c r="H412" i="11" s="1"/>
  <c r="L411" i="11"/>
  <c r="C436" i="12" s="1"/>
  <c r="J412" i="11"/>
  <c r="J333" i="11" l="1"/>
  <c r="H333" i="11" s="1"/>
  <c r="I412" i="11"/>
  <c r="N412" i="11" s="1"/>
  <c r="I333" i="11" l="1"/>
  <c r="K412" i="11"/>
  <c r="G413" i="11" s="1"/>
  <c r="L412" i="11"/>
  <c r="C437" i="12" s="1"/>
  <c r="N333" i="11" l="1"/>
  <c r="K333" i="11"/>
  <c r="G334" i="11" s="1"/>
  <c r="L333" i="11"/>
  <c r="C358" i="12" s="1"/>
  <c r="J413" i="11"/>
  <c r="I413" i="11" s="1"/>
  <c r="H413" i="11"/>
  <c r="N413" i="11"/>
  <c r="K413" i="11"/>
  <c r="G414" i="11" s="1"/>
  <c r="H414" i="11" s="1"/>
  <c r="L413" i="11"/>
  <c r="C438" i="12" s="1"/>
  <c r="J414" i="11"/>
  <c r="J334" i="11" l="1"/>
  <c r="H334" i="11" s="1"/>
  <c r="I414" i="11"/>
  <c r="N414" i="11" s="1"/>
  <c r="I334" i="11" l="1"/>
  <c r="K414" i="11"/>
  <c r="G415" i="11" s="1"/>
  <c r="H415" i="11" s="1"/>
  <c r="L414" i="11"/>
  <c r="C439" i="12" s="1"/>
  <c r="J415" i="11"/>
  <c r="N334" i="11" l="1"/>
  <c r="K334" i="11"/>
  <c r="G335" i="11" s="1"/>
  <c r="L334" i="11"/>
  <c r="C359" i="12" s="1"/>
  <c r="I415" i="11"/>
  <c r="N415" i="11" s="1"/>
  <c r="J335" i="11" l="1"/>
  <c r="H335" i="11" s="1"/>
  <c r="K415" i="11"/>
  <c r="G416" i="11" s="1"/>
  <c r="H416" i="11" s="1"/>
  <c r="L415" i="11"/>
  <c r="C440" i="12" s="1"/>
  <c r="J416" i="11"/>
  <c r="I335" i="11" l="1"/>
  <c r="I416" i="11"/>
  <c r="N416" i="11" s="1"/>
  <c r="N335" i="11" l="1"/>
  <c r="K335" i="11"/>
  <c r="G336" i="11" s="1"/>
  <c r="L335" i="11"/>
  <c r="C360" i="12" s="1"/>
  <c r="K416" i="11"/>
  <c r="G417" i="11" s="1"/>
  <c r="H417" i="11" s="1"/>
  <c r="L416" i="11"/>
  <c r="C441" i="12" s="1"/>
  <c r="J417" i="11"/>
  <c r="J336" i="11" l="1"/>
  <c r="H336" i="11" s="1"/>
  <c r="I417" i="11"/>
  <c r="N417" i="11" s="1"/>
  <c r="I336" i="11" l="1"/>
  <c r="K417" i="11"/>
  <c r="G418" i="11" s="1"/>
  <c r="H418" i="11" s="1"/>
  <c r="L417" i="11"/>
  <c r="C442" i="12" s="1"/>
  <c r="J418" i="11"/>
  <c r="N336" i="11" l="1"/>
  <c r="K336" i="11"/>
  <c r="G337" i="11" s="1"/>
  <c r="L336" i="11"/>
  <c r="C361" i="12" s="1"/>
  <c r="I418" i="11"/>
  <c r="N418" i="11" s="1"/>
  <c r="J337" i="11" l="1"/>
  <c r="H337" i="11" s="1"/>
  <c r="K418" i="11"/>
  <c r="G419" i="11" s="1"/>
  <c r="H419" i="11" s="1"/>
  <c r="L418" i="11"/>
  <c r="C443" i="12" s="1"/>
  <c r="J419" i="11"/>
  <c r="I337" i="11" l="1"/>
  <c r="I419" i="11"/>
  <c r="N419" i="11" s="1"/>
  <c r="N337" i="11" l="1"/>
  <c r="K337" i="11"/>
  <c r="G338" i="11" s="1"/>
  <c r="L337" i="11"/>
  <c r="C362" i="12" s="1"/>
  <c r="K419" i="11"/>
  <c r="G420" i="11" s="1"/>
  <c r="H420" i="11" s="1"/>
  <c r="L419" i="11"/>
  <c r="C444" i="12" s="1"/>
  <c r="J420" i="11"/>
  <c r="J338" i="11" l="1"/>
  <c r="H338" i="11" s="1"/>
  <c r="I420" i="11"/>
  <c r="N420" i="11" s="1"/>
  <c r="I338" i="11" l="1"/>
  <c r="K420" i="11"/>
  <c r="G421" i="11" s="1"/>
  <c r="H421" i="11" s="1"/>
  <c r="L420" i="11"/>
  <c r="C445" i="12" s="1"/>
  <c r="J421" i="11"/>
  <c r="N338" i="11" l="1"/>
  <c r="K338" i="11"/>
  <c r="G339" i="11" s="1"/>
  <c r="L338" i="11"/>
  <c r="C363" i="12" s="1"/>
  <c r="I421" i="11"/>
  <c r="N421" i="11" s="1"/>
  <c r="J339" i="11" l="1"/>
  <c r="H339" i="11" s="1"/>
  <c r="K421" i="11"/>
  <c r="G422" i="11" s="1"/>
  <c r="H422" i="11" s="1"/>
  <c r="L421" i="11"/>
  <c r="C446" i="12" s="1"/>
  <c r="J422" i="11"/>
  <c r="I339" i="11" l="1"/>
  <c r="I422" i="11"/>
  <c r="N422" i="11" s="1"/>
  <c r="N339" i="11" l="1"/>
  <c r="K339" i="11"/>
  <c r="G340" i="11" s="1"/>
  <c r="L339" i="11"/>
  <c r="C364" i="12" s="1"/>
  <c r="K422" i="11"/>
  <c r="G423" i="11" s="1"/>
  <c r="H423" i="11" s="1"/>
  <c r="L422" i="11"/>
  <c r="C447" i="12" s="1"/>
  <c r="J423" i="11"/>
  <c r="J340" i="11" l="1"/>
  <c r="H340" i="11" s="1"/>
  <c r="I423" i="11"/>
  <c r="N423" i="11" s="1"/>
  <c r="I340" i="11" l="1"/>
  <c r="K423" i="11"/>
  <c r="G424" i="11" s="1"/>
  <c r="H424" i="11" s="1"/>
  <c r="L423" i="11"/>
  <c r="C448" i="12" s="1"/>
  <c r="J424" i="11"/>
  <c r="N340" i="11" l="1"/>
  <c r="K340" i="11"/>
  <c r="G341" i="11" s="1"/>
  <c r="L340" i="11"/>
  <c r="C365" i="12" s="1"/>
  <c r="I424" i="11"/>
  <c r="N424" i="11" s="1"/>
  <c r="J341" i="11" l="1"/>
  <c r="H341" i="11" s="1"/>
  <c r="K424" i="11"/>
  <c r="G425" i="11" s="1"/>
  <c r="L424" i="11"/>
  <c r="C449" i="12" s="1"/>
  <c r="I341" i="11" l="1"/>
  <c r="J425" i="11"/>
  <c r="I425" i="11" s="1"/>
  <c r="H425" i="11"/>
  <c r="N425" i="11"/>
  <c r="K425" i="11"/>
  <c r="G426" i="11" s="1"/>
  <c r="H426" i="11" s="1"/>
  <c r="L425" i="11"/>
  <c r="C450" i="12" s="1"/>
  <c r="J426" i="11"/>
  <c r="N341" i="11" l="1"/>
  <c r="K341" i="11"/>
  <c r="G342" i="11" s="1"/>
  <c r="L341" i="11"/>
  <c r="C366" i="12" s="1"/>
  <c r="I426" i="11"/>
  <c r="N426" i="11" s="1"/>
  <c r="J342" i="11" l="1"/>
  <c r="H342" i="11" s="1"/>
  <c r="K426" i="11"/>
  <c r="G427" i="11" s="1"/>
  <c r="H427" i="11" s="1"/>
  <c r="L426" i="11"/>
  <c r="C451" i="12" s="1"/>
  <c r="J427" i="11"/>
  <c r="I342" i="11" l="1"/>
  <c r="I427" i="11"/>
  <c r="N427" i="11" s="1"/>
  <c r="N342" i="11" l="1"/>
  <c r="K342" i="11"/>
  <c r="G343" i="11" s="1"/>
  <c r="L342" i="11"/>
  <c r="C367" i="12" s="1"/>
  <c r="K427" i="11"/>
  <c r="G428" i="11" s="1"/>
  <c r="H428" i="11" s="1"/>
  <c r="L427" i="11"/>
  <c r="C452" i="12" s="1"/>
  <c r="J428" i="11"/>
  <c r="J343" i="11" l="1"/>
  <c r="H343" i="11" s="1"/>
  <c r="I428" i="11"/>
  <c r="N428" i="11" s="1"/>
  <c r="I343" i="11" l="1"/>
  <c r="K428" i="11"/>
  <c r="G429" i="11" s="1"/>
  <c r="H429" i="11" s="1"/>
  <c r="L428" i="11"/>
  <c r="C453" i="12" s="1"/>
  <c r="J429" i="11"/>
  <c r="N343" i="11" l="1"/>
  <c r="K343" i="11"/>
  <c r="G344" i="11" s="1"/>
  <c r="L343" i="11"/>
  <c r="C368" i="12" s="1"/>
  <c r="I429" i="11"/>
  <c r="N429" i="11" s="1"/>
  <c r="J344" i="11" l="1"/>
  <c r="H344" i="11" s="1"/>
  <c r="I344" i="11" s="1"/>
  <c r="N344" i="11" s="1"/>
  <c r="K429" i="11"/>
  <c r="G430" i="11" s="1"/>
  <c r="H430" i="11" s="1"/>
  <c r="L429" i="11"/>
  <c r="C454" i="12" s="1"/>
  <c r="J430" i="11"/>
  <c r="K344" i="11" l="1"/>
  <c r="G345" i="11" s="1"/>
  <c r="L344" i="11"/>
  <c r="C369" i="12" s="1"/>
  <c r="I430" i="11"/>
  <c r="N430" i="11" s="1"/>
  <c r="J345" i="11" l="1"/>
  <c r="H345" i="11" s="1"/>
  <c r="K430" i="11"/>
  <c r="G431" i="11" s="1"/>
  <c r="H431" i="11" s="1"/>
  <c r="L430" i="11"/>
  <c r="C455" i="12" s="1"/>
  <c r="J431" i="11"/>
  <c r="I345" i="11" l="1"/>
  <c r="I431" i="11"/>
  <c r="N431" i="11" s="1"/>
  <c r="N345" i="11" l="1"/>
  <c r="K345" i="11"/>
  <c r="G346" i="11" s="1"/>
  <c r="L345" i="11"/>
  <c r="C370" i="12" s="1"/>
  <c r="K431" i="11"/>
  <c r="G432" i="11" s="1"/>
  <c r="H432" i="11" s="1"/>
  <c r="L431" i="11"/>
  <c r="C456" i="12" s="1"/>
  <c r="J432" i="11"/>
  <c r="J346" i="11" l="1"/>
  <c r="H346" i="11" s="1"/>
  <c r="I432" i="11"/>
  <c r="N432" i="11" s="1"/>
  <c r="I346" i="11" l="1"/>
  <c r="K432" i="11"/>
  <c r="G433" i="11" s="1"/>
  <c r="H433" i="11" s="1"/>
  <c r="L432" i="11"/>
  <c r="C457" i="12" s="1"/>
  <c r="J433" i="11"/>
  <c r="N346" i="11" l="1"/>
  <c r="K346" i="11"/>
  <c r="G347" i="11" s="1"/>
  <c r="L346" i="11"/>
  <c r="C371" i="12" s="1"/>
  <c r="I433" i="11"/>
  <c r="N433" i="11" s="1"/>
  <c r="J347" i="11" l="1"/>
  <c r="H347" i="11" s="1"/>
  <c r="K433" i="11"/>
  <c r="G434" i="11" s="1"/>
  <c r="H434" i="11" s="1"/>
  <c r="L433" i="11"/>
  <c r="C458" i="12" s="1"/>
  <c r="J434" i="11"/>
  <c r="I347" i="11" l="1"/>
  <c r="I434" i="11"/>
  <c r="N434" i="11" s="1"/>
  <c r="N347" i="11" l="1"/>
  <c r="K347" i="11"/>
  <c r="G348" i="11" s="1"/>
  <c r="L347" i="11"/>
  <c r="C372" i="12" s="1"/>
  <c r="K434" i="11"/>
  <c r="G435" i="11" s="1"/>
  <c r="L434" i="11"/>
  <c r="C459" i="12" s="1"/>
  <c r="J348" i="11" l="1"/>
  <c r="H348" i="11" s="1"/>
  <c r="J435" i="11"/>
  <c r="H435" i="11"/>
  <c r="I435" i="11"/>
  <c r="N435" i="11" s="1"/>
  <c r="I348" i="11" l="1"/>
  <c r="K435" i="11"/>
  <c r="G436" i="11" s="1"/>
  <c r="L435" i="11"/>
  <c r="C460" i="12" s="1"/>
  <c r="N348" i="11" l="1"/>
  <c r="K348" i="11"/>
  <c r="G349" i="11" s="1"/>
  <c r="L348" i="11"/>
  <c r="C373" i="12" s="1"/>
  <c r="J436" i="11"/>
  <c r="H436" i="11"/>
  <c r="I436" i="11"/>
  <c r="N436" i="11" s="1"/>
  <c r="J349" i="11" l="1"/>
  <c r="H349" i="11" s="1"/>
  <c r="K436" i="11"/>
  <c r="G437" i="11" s="1"/>
  <c r="L436" i="11"/>
  <c r="C461" i="12" s="1"/>
  <c r="I349" i="11" l="1"/>
  <c r="J437" i="11"/>
  <c r="H437" i="11"/>
  <c r="I437" i="11"/>
  <c r="N437" i="11" s="1"/>
  <c r="N349" i="11" l="1"/>
  <c r="K349" i="11"/>
  <c r="G350" i="11" s="1"/>
  <c r="L349" i="11"/>
  <c r="C374" i="12" s="1"/>
  <c r="K437" i="11"/>
  <c r="G438" i="11" s="1"/>
  <c r="L437" i="11"/>
  <c r="C462" i="12" s="1"/>
  <c r="J350" i="11" l="1"/>
  <c r="H350" i="11" s="1"/>
  <c r="J438" i="11"/>
  <c r="H438" i="11"/>
  <c r="I438" i="11"/>
  <c r="N438" i="11" s="1"/>
  <c r="I350" i="11" l="1"/>
  <c r="K438" i="11"/>
  <c r="G439" i="11" s="1"/>
  <c r="H439" i="11" s="1"/>
  <c r="L438" i="11"/>
  <c r="C463" i="12" s="1"/>
  <c r="J439" i="11"/>
  <c r="N350" i="11" l="1"/>
  <c r="K350" i="11"/>
  <c r="G351" i="11" s="1"/>
  <c r="L350" i="11"/>
  <c r="C375" i="12" s="1"/>
  <c r="I439" i="11"/>
  <c r="N439" i="11" s="1"/>
  <c r="J351" i="11" l="1"/>
  <c r="H351" i="11" s="1"/>
  <c r="K439" i="11"/>
  <c r="G440" i="11" s="1"/>
  <c r="H440" i="11" s="1"/>
  <c r="L439" i="11"/>
  <c r="C464" i="12" s="1"/>
  <c r="J440" i="11"/>
  <c r="I351" i="11" l="1"/>
  <c r="I440" i="11"/>
  <c r="N440" i="11" s="1"/>
  <c r="N351" i="11" l="1"/>
  <c r="K351" i="11"/>
  <c r="G352" i="11" s="1"/>
  <c r="L351" i="11"/>
  <c r="C376" i="12" s="1"/>
  <c r="K440" i="11"/>
  <c r="G441" i="11" s="1"/>
  <c r="H441" i="11" s="1"/>
  <c r="L440" i="11"/>
  <c r="C465" i="12" s="1"/>
  <c r="J441" i="11"/>
  <c r="J352" i="11" l="1"/>
  <c r="H352" i="11" s="1"/>
  <c r="I441" i="11"/>
  <c r="N441" i="11" s="1"/>
  <c r="I352" i="11" l="1"/>
  <c r="K441" i="11"/>
  <c r="G442" i="11" s="1"/>
  <c r="H442" i="11" s="1"/>
  <c r="L441" i="11"/>
  <c r="C466" i="12" s="1"/>
  <c r="J442" i="11"/>
  <c r="N352" i="11" l="1"/>
  <c r="K352" i="11"/>
  <c r="G353" i="11" s="1"/>
  <c r="L352" i="11"/>
  <c r="C377" i="12" s="1"/>
  <c r="I442" i="11"/>
  <c r="N442" i="11" s="1"/>
  <c r="J353" i="11" l="1"/>
  <c r="H353" i="11" s="1"/>
  <c r="I353" i="11" s="1"/>
  <c r="N353" i="11" s="1"/>
  <c r="K442" i="11"/>
  <c r="G443" i="11" s="1"/>
  <c r="H443" i="11" s="1"/>
  <c r="L442" i="11"/>
  <c r="C467" i="12" s="1"/>
  <c r="J443" i="11"/>
  <c r="K353" i="11" l="1"/>
  <c r="G354" i="11" s="1"/>
  <c r="L353" i="11"/>
  <c r="C378" i="12" s="1"/>
  <c r="I443" i="11"/>
  <c r="N443" i="11" s="1"/>
  <c r="J354" i="11" l="1"/>
  <c r="H354" i="11" s="1"/>
  <c r="K443" i="11"/>
  <c r="G444" i="11" s="1"/>
  <c r="H444" i="11" s="1"/>
  <c r="L443" i="11"/>
  <c r="C468" i="12" s="1"/>
  <c r="J444" i="11"/>
  <c r="I354" i="11" l="1"/>
  <c r="I444" i="11"/>
  <c r="N444" i="11" s="1"/>
  <c r="K444" i="11"/>
  <c r="G445" i="11" s="1"/>
  <c r="H445" i="11" s="1"/>
  <c r="N354" i="11" l="1"/>
  <c r="K354" i="11"/>
  <c r="G355" i="11" s="1"/>
  <c r="L354" i="11"/>
  <c r="C379" i="12" s="1"/>
  <c r="L444" i="11"/>
  <c r="C469" i="12" s="1"/>
  <c r="J445" i="11"/>
  <c r="J355" i="11" l="1"/>
  <c r="H355" i="11" s="1"/>
  <c r="I445" i="11"/>
  <c r="N445" i="11" s="1"/>
  <c r="I355" i="11" l="1"/>
  <c r="K445" i="11"/>
  <c r="G446" i="11" s="1"/>
  <c r="H446" i="11" s="1"/>
  <c r="L445" i="11"/>
  <c r="C470" i="12" s="1"/>
  <c r="J446" i="11"/>
  <c r="N355" i="11" l="1"/>
  <c r="K355" i="11"/>
  <c r="G356" i="11" s="1"/>
  <c r="L355" i="11"/>
  <c r="C380" i="12" s="1"/>
  <c r="I446" i="11"/>
  <c r="N446" i="11" s="1"/>
  <c r="K446" i="11"/>
  <c r="G447" i="11" s="1"/>
  <c r="H447" i="11" s="1"/>
  <c r="J356" i="11" l="1"/>
  <c r="H356" i="11" s="1"/>
  <c r="L446" i="11"/>
  <c r="C471" i="12" s="1"/>
  <c r="J447" i="11"/>
  <c r="I356" i="11" l="1"/>
  <c r="I447" i="11"/>
  <c r="N447" i="11" s="1"/>
  <c r="N356" i="11" l="1"/>
  <c r="K356" i="11"/>
  <c r="G357" i="11" s="1"/>
  <c r="L356" i="11"/>
  <c r="C381" i="12" s="1"/>
  <c r="K447" i="11"/>
  <c r="G448" i="11" s="1"/>
  <c r="H448" i="11" s="1"/>
  <c r="L447" i="11"/>
  <c r="C472" i="12" s="1"/>
  <c r="J448" i="11"/>
  <c r="J357" i="11" l="1"/>
  <c r="H357" i="11" s="1"/>
  <c r="I448" i="11"/>
  <c r="N448" i="11" s="1"/>
  <c r="I357" i="11" l="1"/>
  <c r="K448" i="11"/>
  <c r="G449" i="11" s="1"/>
  <c r="H449" i="11" s="1"/>
  <c r="L448" i="11"/>
  <c r="C473" i="12" s="1"/>
  <c r="J449" i="11"/>
  <c r="N357" i="11" l="1"/>
  <c r="K357" i="11"/>
  <c r="G358" i="11" s="1"/>
  <c r="L357" i="11"/>
  <c r="C382" i="12" s="1"/>
  <c r="I449" i="11"/>
  <c r="N449" i="11" s="1"/>
  <c r="J358" i="11" l="1"/>
  <c r="H358" i="11" s="1"/>
  <c r="K449" i="11"/>
  <c r="G450" i="11" s="1"/>
  <c r="H450" i="11" s="1"/>
  <c r="L449" i="11"/>
  <c r="C474" i="12" s="1"/>
  <c r="J450" i="11"/>
  <c r="I358" i="11" l="1"/>
  <c r="I450" i="11"/>
  <c r="N450" i="11" s="1"/>
  <c r="N358" i="11" l="1"/>
  <c r="K358" i="11"/>
  <c r="G359" i="11" s="1"/>
  <c r="L358" i="11"/>
  <c r="C383" i="12" s="1"/>
  <c r="K450" i="11"/>
  <c r="G451" i="11" s="1"/>
  <c r="H451" i="11" s="1"/>
  <c r="L450" i="11"/>
  <c r="C475" i="12" s="1"/>
  <c r="J451" i="11"/>
  <c r="J359" i="11" l="1"/>
  <c r="H359" i="11" s="1"/>
  <c r="I451" i="11"/>
  <c r="N451" i="11" s="1"/>
  <c r="I359" i="11" l="1"/>
  <c r="K451" i="11"/>
  <c r="G452" i="11" s="1"/>
  <c r="L451" i="11"/>
  <c r="C476" i="12" s="1"/>
  <c r="N359" i="11" l="1"/>
  <c r="K359" i="11"/>
  <c r="G360" i="11" s="1"/>
  <c r="L359" i="11"/>
  <c r="C384" i="12" s="1"/>
  <c r="J452" i="11"/>
  <c r="H452" i="11"/>
  <c r="I452" i="11"/>
  <c r="N452" i="11" s="1"/>
  <c r="J360" i="11" l="1"/>
  <c r="H360" i="11" s="1"/>
  <c r="K452" i="11"/>
  <c r="G453" i="11" s="1"/>
  <c r="L452" i="11"/>
  <c r="C477" i="12" s="1"/>
  <c r="I360" i="11" l="1"/>
  <c r="J453" i="11"/>
  <c r="I453" i="11" s="1"/>
  <c r="N453" i="11" s="1"/>
  <c r="H453" i="11"/>
  <c r="K453" i="11"/>
  <c r="G454" i="11" s="1"/>
  <c r="H454" i="11" s="1"/>
  <c r="L453" i="11"/>
  <c r="C478" i="12" s="1"/>
  <c r="J454" i="11"/>
  <c r="N360" i="11" l="1"/>
  <c r="K360" i="11"/>
  <c r="G361" i="11" s="1"/>
  <c r="L360" i="11"/>
  <c r="C385" i="12" s="1"/>
  <c r="I454" i="11"/>
  <c r="N454" i="11" s="1"/>
  <c r="K454" i="11"/>
  <c r="G455" i="11" s="1"/>
  <c r="H455" i="11" s="1"/>
  <c r="J361" i="11" l="1"/>
  <c r="H361" i="11"/>
  <c r="L454" i="11"/>
  <c r="C479" i="12" s="1"/>
  <c r="J455" i="11"/>
  <c r="I361" i="11" l="1"/>
  <c r="L361" i="11"/>
  <c r="C386" i="12" s="1"/>
  <c r="I455" i="11"/>
  <c r="N455" i="11" s="1"/>
  <c r="K455" i="11"/>
  <c r="G456" i="11" s="1"/>
  <c r="H456" i="11" s="1"/>
  <c r="N361" i="11" l="1"/>
  <c r="K361" i="11"/>
  <c r="G362" i="11" s="1"/>
  <c r="L455" i="11"/>
  <c r="C480" i="12" s="1"/>
  <c r="J456" i="11"/>
  <c r="J362" i="11" l="1"/>
  <c r="H362" i="11" s="1"/>
  <c r="I456" i="11"/>
  <c r="N456" i="11" s="1"/>
  <c r="K456" i="11"/>
  <c r="G457" i="11" s="1"/>
  <c r="H457" i="11" s="1"/>
  <c r="I362" i="11" l="1"/>
  <c r="L456" i="11"/>
  <c r="C481" i="12" s="1"/>
  <c r="J457" i="11"/>
  <c r="N362" i="11" l="1"/>
  <c r="K362" i="11"/>
  <c r="G363" i="11" s="1"/>
  <c r="L362" i="11"/>
  <c r="C387" i="12" s="1"/>
  <c r="I457" i="11"/>
  <c r="N457" i="11" s="1"/>
  <c r="J363" i="11" l="1"/>
  <c r="H363" i="11"/>
  <c r="K457" i="11"/>
  <c r="G458" i="11" s="1"/>
  <c r="H458" i="11" s="1"/>
  <c r="L457" i="11"/>
  <c r="C482" i="12" s="1"/>
  <c r="J458" i="11"/>
  <c r="I363" i="11" l="1"/>
  <c r="L363" i="11" s="1"/>
  <c r="C388" i="12" s="1"/>
  <c r="I458" i="11"/>
  <c r="N458" i="11" s="1"/>
  <c r="K458" i="11"/>
  <c r="G459" i="11" s="1"/>
  <c r="H459" i="11" s="1"/>
  <c r="N363" i="11" l="1"/>
  <c r="K363" i="11"/>
  <c r="G364" i="11" s="1"/>
  <c r="L458" i="11"/>
  <c r="C483" i="12" s="1"/>
  <c r="J459" i="11"/>
  <c r="J364" i="11" l="1"/>
  <c r="H364" i="11" s="1"/>
  <c r="I459" i="11"/>
  <c r="N459" i="11" s="1"/>
  <c r="I364" i="11" l="1"/>
  <c r="K459" i="11"/>
  <c r="G460" i="11" s="1"/>
  <c r="H460" i="11" s="1"/>
  <c r="L459" i="11"/>
  <c r="C484" i="12" s="1"/>
  <c r="J460" i="11"/>
  <c r="N364" i="11" l="1"/>
  <c r="K364" i="11"/>
  <c r="G365" i="11" s="1"/>
  <c r="L364" i="11"/>
  <c r="C389" i="12" s="1"/>
  <c r="I460" i="11"/>
  <c r="N460" i="11" s="1"/>
  <c r="J365" i="11" l="1"/>
  <c r="H365" i="11" s="1"/>
  <c r="K460" i="11"/>
  <c r="G461" i="11" s="1"/>
  <c r="H461" i="11" s="1"/>
  <c r="L460" i="11"/>
  <c r="C485" i="12" s="1"/>
  <c r="J461" i="11"/>
  <c r="I365" i="11" l="1"/>
  <c r="L365" i="11" s="1"/>
  <c r="C390" i="12" s="1"/>
  <c r="D5" i="12" s="1"/>
  <c r="H5" i="12" s="1"/>
  <c r="I461" i="11"/>
  <c r="N461" i="11" s="1"/>
  <c r="N365" i="11" l="1"/>
  <c r="K365" i="11"/>
  <c r="G366" i="11" s="1"/>
  <c r="H366" i="11" s="1"/>
  <c r="K461" i="11"/>
  <c r="G462" i="11" s="1"/>
  <c r="H462" i="11" s="1"/>
  <c r="L461" i="11"/>
  <c r="C486" i="12" s="1"/>
  <c r="J462" i="11"/>
  <c r="I462" i="11" l="1"/>
  <c r="N462" i="11" s="1"/>
  <c r="K462" i="11"/>
  <c r="G463" i="11" s="1"/>
  <c r="H463" i="11" s="1"/>
  <c r="L462" i="11" l="1"/>
  <c r="C487" i="12" s="1"/>
  <c r="J463" i="11"/>
  <c r="I463" i="11" l="1"/>
  <c r="N463" i="11" s="1"/>
  <c r="K463" i="11" l="1"/>
  <c r="G464" i="11" s="1"/>
  <c r="H464" i="11" s="1"/>
  <c r="L463" i="11"/>
  <c r="C488" i="12" s="1"/>
  <c r="J464" i="11"/>
  <c r="I464" i="11" l="1"/>
  <c r="N464" i="11" s="1"/>
  <c r="K464" i="11" l="1"/>
  <c r="G465" i="11" s="1"/>
  <c r="H465" i="11" s="1"/>
  <c r="L464" i="11"/>
  <c r="C489" i="12" s="1"/>
  <c r="J465" i="11"/>
  <c r="I465" i="11" l="1"/>
  <c r="N465" i="11" s="1"/>
  <c r="K465" i="11" l="1"/>
  <c r="G466" i="11" s="1"/>
  <c r="H466" i="11" s="1"/>
  <c r="L465" i="11"/>
  <c r="C490" i="12" s="1"/>
  <c r="J466" i="11"/>
  <c r="I466" i="11" l="1"/>
  <c r="N466" i="11" s="1"/>
  <c r="K466" i="11" l="1"/>
  <c r="G467" i="11" s="1"/>
  <c r="H467" i="11" s="1"/>
  <c r="L466" i="11"/>
  <c r="C491" i="12" s="1"/>
  <c r="J467" i="11"/>
  <c r="I467" i="11" l="1"/>
  <c r="N467" i="11" s="1"/>
  <c r="K467" i="11" l="1"/>
  <c r="G468" i="11" s="1"/>
  <c r="H468" i="11" s="1"/>
  <c r="L467" i="11"/>
  <c r="C492" i="12" s="1"/>
  <c r="J468" i="11"/>
  <c r="I468" i="11" l="1"/>
  <c r="N468" i="11" s="1"/>
  <c r="K468" i="11" l="1"/>
  <c r="G469" i="11" s="1"/>
  <c r="H469" i="11" s="1"/>
  <c r="L468" i="11"/>
  <c r="C493" i="12" s="1"/>
  <c r="J469" i="11"/>
  <c r="I469" i="11" l="1"/>
  <c r="N469" i="11" s="1"/>
  <c r="K469" i="11" l="1"/>
  <c r="G470" i="11" s="1"/>
  <c r="H470" i="11" s="1"/>
  <c r="L469" i="11"/>
  <c r="C494" i="12" s="1"/>
  <c r="J470" i="11"/>
  <c r="I470" i="11" l="1"/>
  <c r="N470" i="11" s="1"/>
  <c r="K470" i="11" l="1"/>
  <c r="G471" i="11" s="1"/>
  <c r="H471" i="11" s="1"/>
  <c r="L470" i="11"/>
  <c r="C495" i="12" s="1"/>
  <c r="J471" i="11"/>
  <c r="I471" i="11" l="1"/>
  <c r="N471" i="11" s="1"/>
  <c r="K471" i="11" l="1"/>
  <c r="G472" i="11" s="1"/>
  <c r="L471" i="11"/>
  <c r="C496" i="12" s="1"/>
  <c r="J472" i="11" l="1"/>
  <c r="I472" i="11" s="1"/>
  <c r="H472" i="11"/>
  <c r="N472" i="11"/>
  <c r="K472" i="11"/>
  <c r="G473" i="11" s="1"/>
  <c r="L472" i="11"/>
  <c r="C497" i="12" s="1"/>
  <c r="J473" i="11" l="1"/>
  <c r="I473" i="11" s="1"/>
  <c r="N473" i="11" s="1"/>
  <c r="H473" i="11"/>
  <c r="K473" i="11"/>
  <c r="G474" i="11" s="1"/>
  <c r="H474" i="11" s="1"/>
  <c r="L473" i="11"/>
  <c r="C498" i="12" s="1"/>
  <c r="J474" i="11"/>
  <c r="I474" i="11" l="1"/>
  <c r="N474" i="11" s="1"/>
  <c r="K474" i="11" l="1"/>
  <c r="G475" i="11" s="1"/>
  <c r="H475" i="11" s="1"/>
  <c r="L474" i="11"/>
  <c r="C499" i="12" s="1"/>
  <c r="J475" i="11"/>
  <c r="I475" i="11" l="1"/>
  <c r="N475" i="11" s="1"/>
  <c r="K475" i="11" l="1"/>
  <c r="G476" i="11" s="1"/>
  <c r="H476" i="11" s="1"/>
  <c r="L475" i="11"/>
  <c r="C500" i="12" s="1"/>
  <c r="J476" i="11"/>
  <c r="I476" i="11" l="1"/>
  <c r="N476" i="11" s="1"/>
  <c r="K476" i="11" l="1"/>
  <c r="G477" i="11" s="1"/>
  <c r="H477" i="11" s="1"/>
  <c r="L476" i="11"/>
  <c r="C501" i="12" s="1"/>
  <c r="J477" i="11"/>
  <c r="I477" i="11" l="1"/>
  <c r="N477" i="11" s="1"/>
  <c r="K477" i="11"/>
  <c r="G478" i="11" s="1"/>
  <c r="H478" i="11" s="1"/>
  <c r="L477" i="11" l="1"/>
  <c r="C502" i="12" s="1"/>
  <c r="J478" i="11"/>
  <c r="I478" i="11" l="1"/>
  <c r="N478" i="11" s="1"/>
  <c r="K478" i="11" l="1"/>
  <c r="G479" i="11" s="1"/>
  <c r="H479" i="11" s="1"/>
  <c r="L478" i="11"/>
  <c r="C503" i="12" s="1"/>
  <c r="J479" i="11"/>
  <c r="I479" i="11" l="1"/>
  <c r="N479" i="11" s="1"/>
  <c r="K479" i="11"/>
  <c r="G480" i="11" s="1"/>
  <c r="H480" i="11" s="1"/>
  <c r="L479" i="11" l="1"/>
  <c r="C504" i="12" s="1"/>
  <c r="J480" i="11"/>
  <c r="I480" i="11" l="1"/>
  <c r="N480" i="11" s="1"/>
  <c r="K480" i="11" l="1"/>
  <c r="G481" i="11" s="1"/>
  <c r="H481" i="11" s="1"/>
  <c r="L480" i="11"/>
  <c r="C505" i="12" s="1"/>
  <c r="J481" i="11"/>
  <c r="I481" i="11" l="1"/>
  <c r="N481" i="11" s="1"/>
  <c r="K481" i="11"/>
  <c r="G482" i="11" s="1"/>
  <c r="H482" i="11" s="1"/>
  <c r="L481" i="11" l="1"/>
  <c r="C506" i="12" s="1"/>
  <c r="J482" i="11"/>
  <c r="I482" i="11" l="1"/>
  <c r="N482" i="11" s="1"/>
  <c r="K482" i="11" l="1"/>
  <c r="G483" i="11" s="1"/>
  <c r="H483" i="11" s="1"/>
  <c r="L482" i="11"/>
  <c r="C507" i="12" s="1"/>
  <c r="J483" i="11"/>
  <c r="I483" i="11" l="1"/>
  <c r="N483" i="11" s="1"/>
  <c r="K483" i="11" l="1"/>
  <c r="G484" i="11" s="1"/>
  <c r="L483" i="11"/>
  <c r="C508" i="12" s="1"/>
  <c r="J484" i="11" l="1"/>
  <c r="I484" i="11" s="1"/>
  <c r="H484" i="11"/>
  <c r="N484" i="11"/>
  <c r="K484" i="11"/>
  <c r="G485" i="11" s="1"/>
  <c r="H485" i="11" s="1"/>
  <c r="L484" i="11"/>
  <c r="C509" i="12" s="1"/>
  <c r="J485" i="11"/>
  <c r="I485" i="11" l="1"/>
  <c r="N485" i="11" s="1"/>
  <c r="K485" i="11" l="1"/>
  <c r="G486" i="11" s="1"/>
  <c r="H486" i="11" s="1"/>
  <c r="L485" i="11"/>
  <c r="C510" i="12" s="1"/>
  <c r="J486" i="11"/>
  <c r="I486" i="11" l="1"/>
  <c r="N486" i="11" s="1"/>
  <c r="K486" i="11" l="1"/>
  <c r="G487" i="11" s="1"/>
  <c r="H487" i="11" s="1"/>
  <c r="L486" i="11"/>
  <c r="C511" i="12" s="1"/>
  <c r="J487" i="11"/>
  <c r="I487" i="11" l="1"/>
  <c r="N487" i="11" s="1"/>
  <c r="K487" i="11" l="1"/>
  <c r="G488" i="11" s="1"/>
  <c r="L487" i="11"/>
  <c r="C512" i="12" s="1"/>
  <c r="J488" i="11" l="1"/>
  <c r="I488" i="11" s="1"/>
  <c r="H488" i="11"/>
  <c r="N488" i="11"/>
  <c r="K488" i="11"/>
  <c r="G489" i="11" s="1"/>
  <c r="H489" i="11" s="1"/>
  <c r="L488" i="11"/>
  <c r="C513" i="12" s="1"/>
  <c r="J489" i="11"/>
  <c r="I489" i="11" l="1"/>
  <c r="N489" i="11" s="1"/>
  <c r="K489" i="11" l="1"/>
  <c r="G490" i="11" s="1"/>
  <c r="H490" i="11" s="1"/>
  <c r="L489" i="11"/>
  <c r="C514" i="12" s="1"/>
  <c r="J490" i="11"/>
  <c r="I490" i="11" l="1"/>
  <c r="N490" i="11" s="1"/>
  <c r="K490" i="11" l="1"/>
  <c r="G491" i="11" s="1"/>
  <c r="H491" i="11" s="1"/>
  <c r="L490" i="11"/>
  <c r="C515" i="12" s="1"/>
  <c r="J491" i="11"/>
  <c r="I491" i="11" l="1"/>
  <c r="N491" i="11" s="1"/>
  <c r="K491" i="11"/>
  <c r="G492" i="11" s="1"/>
  <c r="H492" i="11" s="1"/>
  <c r="L491" i="11" l="1"/>
  <c r="C516" i="12" s="1"/>
  <c r="J492" i="11"/>
  <c r="I492" i="11" l="1"/>
  <c r="N492" i="11" s="1"/>
  <c r="K492" i="11" l="1"/>
  <c r="G493" i="11" s="1"/>
  <c r="H493" i="11" s="1"/>
  <c r="L492" i="11"/>
  <c r="C517" i="12" s="1"/>
  <c r="J493" i="11"/>
  <c r="I493" i="11" l="1"/>
  <c r="N493" i="11" s="1"/>
  <c r="K493" i="11" l="1"/>
  <c r="G494" i="11" s="1"/>
  <c r="H494" i="11" s="1"/>
  <c r="L493" i="11"/>
  <c r="C518" i="12" s="1"/>
  <c r="J494" i="11"/>
  <c r="I494" i="11" l="1"/>
  <c r="N494" i="11" s="1"/>
  <c r="K494" i="11" l="1"/>
  <c r="G495" i="11" s="1"/>
  <c r="H495" i="11" s="1"/>
  <c r="L494" i="11"/>
  <c r="C519" i="12" s="1"/>
  <c r="J495" i="11"/>
  <c r="I495" i="11" l="1"/>
  <c r="N495" i="11" s="1"/>
  <c r="K495" i="11" l="1"/>
  <c r="G496" i="11" s="1"/>
  <c r="H496" i="11" s="1"/>
  <c r="L495" i="11"/>
  <c r="C520" i="12" s="1"/>
  <c r="J496" i="11"/>
  <c r="I496" i="11" l="1"/>
  <c r="N496" i="11" s="1"/>
  <c r="K496" i="11" l="1"/>
  <c r="G497" i="11" s="1"/>
  <c r="H497" i="11" s="1"/>
  <c r="L496" i="11"/>
  <c r="C521" i="12" s="1"/>
  <c r="J497" i="11"/>
  <c r="I497" i="11" l="1"/>
  <c r="N497" i="11" s="1"/>
  <c r="K497" i="11" l="1"/>
  <c r="G498" i="11" s="1"/>
  <c r="L497" i="11"/>
  <c r="C522" i="12" s="1"/>
  <c r="J498" i="11" l="1"/>
  <c r="I498" i="11" s="1"/>
  <c r="H498" i="11"/>
  <c r="N498" i="11"/>
  <c r="K498" i="11"/>
  <c r="G499" i="11" s="1"/>
  <c r="L498" i="11"/>
  <c r="C523" i="12" s="1"/>
  <c r="J499" i="11" l="1"/>
  <c r="H499" i="11"/>
  <c r="I499" i="11"/>
  <c r="N499" i="11" s="1"/>
  <c r="K499" i="11" l="1"/>
  <c r="G500" i="11" s="1"/>
  <c r="L499" i="11"/>
  <c r="C524" i="12" s="1"/>
  <c r="J500" i="11" l="1"/>
  <c r="I500" i="11" s="1"/>
  <c r="N500" i="11" s="1"/>
  <c r="H500" i="11"/>
  <c r="K500" i="11"/>
  <c r="G501" i="11" s="1"/>
  <c r="H501" i="11" s="1"/>
  <c r="L500" i="11"/>
  <c r="C525" i="12" s="1"/>
  <c r="J501" i="11"/>
  <c r="I501" i="11" l="1"/>
  <c r="N501" i="11" s="1"/>
  <c r="K501" i="11"/>
  <c r="G502" i="11" s="1"/>
  <c r="H502" i="11" s="1"/>
  <c r="L501" i="11" l="1"/>
  <c r="C526" i="12" s="1"/>
  <c r="J502" i="11"/>
  <c r="I502" i="11" l="1"/>
  <c r="N502" i="11" s="1"/>
  <c r="K502" i="11" l="1"/>
  <c r="G503" i="11" s="1"/>
  <c r="L502" i="11"/>
  <c r="C527" i="12" s="1"/>
  <c r="J503" i="11" l="1"/>
  <c r="I503" i="11" s="1"/>
  <c r="H503" i="11"/>
  <c r="N503" i="11"/>
  <c r="K503" i="11"/>
  <c r="G504" i="11" s="1"/>
  <c r="H504" i="11" s="1"/>
  <c r="L503" i="11"/>
  <c r="C528" i="12" s="1"/>
  <c r="J504" i="11"/>
  <c r="I504" i="11" l="1"/>
  <c r="N504" i="11" s="1"/>
  <c r="K504" i="11" l="1"/>
  <c r="G505" i="11" s="1"/>
  <c r="L504" i="11"/>
  <c r="C529" i="12" s="1"/>
  <c r="J505" i="11" l="1"/>
  <c r="I505" i="11" s="1"/>
  <c r="H505" i="11"/>
  <c r="N505" i="11"/>
  <c r="K505" i="11"/>
  <c r="G506" i="11" s="1"/>
  <c r="H506" i="11" s="1"/>
  <c r="L505" i="11"/>
  <c r="C530" i="12" s="1"/>
  <c r="J506" i="11"/>
  <c r="I506" i="11" l="1"/>
  <c r="N506" i="11" s="1"/>
  <c r="K506" i="11"/>
  <c r="G507" i="11" s="1"/>
  <c r="H507" i="11" s="1"/>
  <c r="L506" i="11" l="1"/>
  <c r="C531" i="12" s="1"/>
  <c r="J507" i="11"/>
  <c r="I507" i="11" l="1"/>
  <c r="N507" i="11" s="1"/>
  <c r="K507" i="11" l="1"/>
  <c r="G508" i="11" s="1"/>
  <c r="L507" i="11"/>
  <c r="C532" i="12" s="1"/>
  <c r="J508" i="11" l="1"/>
  <c r="I508" i="11" s="1"/>
  <c r="H508" i="11"/>
  <c r="N508" i="11"/>
  <c r="K508" i="11"/>
  <c r="G509" i="11" s="1"/>
  <c r="H509" i="11" s="1"/>
  <c r="L508" i="11"/>
  <c r="C533" i="12" s="1"/>
  <c r="J509" i="11"/>
  <c r="I509" i="11" l="1"/>
  <c r="N509" i="11" s="1"/>
  <c r="K509" i="11" l="1"/>
  <c r="G510" i="11" s="1"/>
  <c r="L509" i="11"/>
  <c r="C534" i="12" s="1"/>
  <c r="J510" i="11" l="1"/>
  <c r="I510" i="11" s="1"/>
  <c r="H510" i="11"/>
  <c r="N510" i="11"/>
  <c r="K510" i="11"/>
  <c r="G511" i="11" s="1"/>
  <c r="L510" i="11"/>
  <c r="C535" i="12" s="1"/>
  <c r="J511" i="11" l="1"/>
  <c r="I511" i="11" s="1"/>
  <c r="H511" i="11"/>
  <c r="N511" i="11"/>
  <c r="K511" i="11"/>
  <c r="G512" i="11" s="1"/>
  <c r="H512" i="11" s="1"/>
  <c r="L511" i="11"/>
  <c r="C536" i="12" s="1"/>
  <c r="J512" i="11"/>
  <c r="I512" i="11" l="1"/>
  <c r="N512" i="11" s="1"/>
  <c r="K512" i="11" l="1"/>
  <c r="G513" i="11" s="1"/>
  <c r="L512" i="11"/>
  <c r="C537" i="12" s="1"/>
  <c r="J513" i="11" l="1"/>
  <c r="I513" i="11" s="1"/>
  <c r="H513" i="11"/>
  <c r="N513" i="11"/>
  <c r="K513" i="11"/>
  <c r="G514" i="11" s="1"/>
  <c r="H514" i="11" s="1"/>
  <c r="L513" i="11"/>
  <c r="C538" i="12" s="1"/>
  <c r="J514" i="11"/>
  <c r="I514" i="11" l="1"/>
  <c r="N514" i="11" s="1"/>
  <c r="K514" i="11" l="1"/>
  <c r="G515" i="11" s="1"/>
  <c r="L514" i="11"/>
  <c r="C539" i="12" s="1"/>
  <c r="J515" i="11" l="1"/>
  <c r="I515" i="11" s="1"/>
  <c r="H515" i="11"/>
  <c r="N515" i="11"/>
  <c r="K515" i="11"/>
  <c r="G516" i="11" s="1"/>
  <c r="H516" i="11" s="1"/>
  <c r="L515" i="11"/>
  <c r="C540" i="12" s="1"/>
  <c r="J516" i="11"/>
  <c r="I516" i="11" l="1"/>
  <c r="N516" i="11" s="1"/>
  <c r="K516" i="11" l="1"/>
  <c r="G517" i="11" s="1"/>
  <c r="H517" i="11" s="1"/>
  <c r="L516" i="11"/>
  <c r="C541" i="12" s="1"/>
  <c r="J517" i="11"/>
  <c r="I517" i="11" l="1"/>
  <c r="N517" i="11" s="1"/>
  <c r="K517" i="11" l="1"/>
  <c r="G518" i="11" s="1"/>
  <c r="H518" i="11" s="1"/>
  <c r="L517" i="11"/>
  <c r="C542" i="12" s="1"/>
  <c r="J518" i="11"/>
  <c r="I518" i="11" l="1"/>
  <c r="N518" i="11" s="1"/>
  <c r="K518" i="11" l="1"/>
  <c r="G519" i="11" s="1"/>
  <c r="H519" i="11" s="1"/>
  <c r="L518" i="11"/>
  <c r="C543" i="12" s="1"/>
  <c r="J519" i="11"/>
  <c r="I519" i="11" l="1"/>
  <c r="N519" i="11" s="1"/>
  <c r="K519" i="11" l="1"/>
  <c r="G520" i="11" s="1"/>
  <c r="H520" i="11" s="1"/>
  <c r="L519" i="11"/>
  <c r="C544" i="12" s="1"/>
  <c r="J520" i="11"/>
  <c r="I520" i="11" l="1"/>
  <c r="N520" i="11" s="1"/>
  <c r="K520" i="11" l="1"/>
  <c r="G521" i="11" s="1"/>
  <c r="H521" i="11" s="1"/>
  <c r="L520" i="11"/>
  <c r="C545" i="12" s="1"/>
  <c r="J521" i="11"/>
  <c r="I521" i="11" l="1"/>
  <c r="N521" i="11" s="1"/>
  <c r="K521" i="11" l="1"/>
  <c r="G522" i="11" s="1"/>
  <c r="H522" i="11" s="1"/>
  <c r="L521" i="11"/>
  <c r="C546" i="12" s="1"/>
  <c r="J522" i="11"/>
  <c r="I522" i="11" l="1"/>
  <c r="N522" i="11" s="1"/>
  <c r="K522" i="11" l="1"/>
  <c r="G523" i="11" s="1"/>
  <c r="H523" i="11" s="1"/>
  <c r="L522" i="11"/>
  <c r="C547" i="12" s="1"/>
  <c r="J523" i="11"/>
  <c r="I523" i="11" l="1"/>
  <c r="N523" i="11" s="1"/>
  <c r="K523" i="11" l="1"/>
  <c r="G524" i="11" s="1"/>
  <c r="L523" i="11"/>
  <c r="C548" i="12" s="1"/>
  <c r="J524" i="11" l="1"/>
  <c r="I524" i="11" s="1"/>
  <c r="H524" i="11"/>
  <c r="N524" i="11"/>
  <c r="K524" i="11"/>
  <c r="G525" i="11" s="1"/>
  <c r="H525" i="11" s="1"/>
  <c r="L524" i="11"/>
  <c r="C549" i="12" s="1"/>
  <c r="J525" i="11"/>
  <c r="I525" i="11" l="1"/>
  <c r="N525" i="11" s="1"/>
  <c r="K525" i="11" l="1"/>
  <c r="G526" i="11" s="1"/>
  <c r="H526" i="11" s="1"/>
  <c r="L525" i="11"/>
  <c r="C550" i="12" s="1"/>
  <c r="J526" i="11"/>
  <c r="I526" i="11" l="1"/>
  <c r="N526" i="11" s="1"/>
  <c r="K526" i="11" l="1"/>
  <c r="G527" i="11" s="1"/>
  <c r="H527" i="11" s="1"/>
  <c r="L526" i="11"/>
  <c r="C551" i="12" s="1"/>
  <c r="J527" i="11"/>
  <c r="I527" i="11" l="1"/>
  <c r="N527" i="11" s="1"/>
  <c r="K527" i="11" l="1"/>
  <c r="G528" i="11" s="1"/>
  <c r="L527" i="11"/>
  <c r="C552" i="12" s="1"/>
  <c r="J528" i="11" l="1"/>
  <c r="I528" i="11" s="1"/>
  <c r="H528" i="11"/>
  <c r="N528" i="11"/>
  <c r="K528" i="11"/>
  <c r="G529" i="11" s="1"/>
  <c r="L528" i="11"/>
  <c r="C553" i="12" s="1"/>
  <c r="J529" i="11" l="1"/>
  <c r="I529" i="11" s="1"/>
  <c r="H529" i="11"/>
  <c r="N529" i="11"/>
  <c r="K529" i="11"/>
  <c r="G530" i="11" s="1"/>
  <c r="L529" i="11"/>
  <c r="C554" i="12" s="1"/>
  <c r="J530" i="11" l="1"/>
  <c r="I530" i="11" s="1"/>
  <c r="N530" i="11" s="1"/>
  <c r="H530" i="11"/>
  <c r="K530" i="11"/>
  <c r="G531" i="11" s="1"/>
  <c r="H531" i="11" s="1"/>
  <c r="L530" i="11"/>
  <c r="C555" i="12" s="1"/>
  <c r="J531" i="11"/>
  <c r="I531" i="11" l="1"/>
  <c r="N531" i="11" s="1"/>
  <c r="K531" i="11" l="1"/>
  <c r="G532" i="11" s="1"/>
  <c r="H532" i="11" s="1"/>
  <c r="L531" i="11"/>
  <c r="C556" i="12" s="1"/>
  <c r="J532" i="11"/>
  <c r="I532" i="11" l="1"/>
  <c r="N532" i="11" s="1"/>
  <c r="K532" i="11" l="1"/>
  <c r="G533" i="11" s="1"/>
  <c r="H533" i="11" s="1"/>
  <c r="L532" i="11"/>
  <c r="C557" i="12" s="1"/>
  <c r="J533" i="11"/>
  <c r="I533" i="11" l="1"/>
  <c r="N533" i="11" s="1"/>
  <c r="K533" i="11" l="1"/>
  <c r="G534" i="11" s="1"/>
  <c r="L533" i="11"/>
  <c r="C558" i="12" s="1"/>
  <c r="J534" i="11" l="1"/>
  <c r="I534" i="11" s="1"/>
  <c r="H534" i="11"/>
  <c r="N534" i="11"/>
  <c r="K534" i="11"/>
  <c r="G535" i="11" s="1"/>
  <c r="H535" i="11" s="1"/>
  <c r="L534" i="11"/>
  <c r="C559" i="12" s="1"/>
  <c r="J535" i="11"/>
  <c r="I535" i="11" l="1"/>
  <c r="N535" i="11" s="1"/>
  <c r="K535" i="11" l="1"/>
  <c r="G536" i="11" s="1"/>
  <c r="L535" i="11"/>
  <c r="C560" i="12" s="1"/>
  <c r="J536" i="11" l="1"/>
  <c r="I536" i="11" s="1"/>
  <c r="H536" i="11"/>
  <c r="N536" i="11"/>
  <c r="K536" i="11"/>
  <c r="G537" i="11" s="1"/>
  <c r="H537" i="11" s="1"/>
  <c r="L536" i="11"/>
  <c r="C561" i="12" s="1"/>
  <c r="J537" i="11"/>
  <c r="I537" i="11" l="1"/>
  <c r="N537" i="11" s="1"/>
  <c r="K537" i="11" l="1"/>
  <c r="G538" i="11" s="1"/>
  <c r="L537" i="11"/>
  <c r="C562" i="12" s="1"/>
  <c r="J538" i="11" l="1"/>
  <c r="I538" i="11" s="1"/>
  <c r="H538" i="11"/>
  <c r="N538" i="11"/>
  <c r="K538" i="11"/>
  <c r="G539" i="11" s="1"/>
  <c r="L538" i="11"/>
  <c r="C563" i="12" s="1"/>
  <c r="J539" i="11" l="1"/>
  <c r="I539" i="11" s="1"/>
  <c r="N539" i="11" s="1"/>
  <c r="H539" i="11"/>
  <c r="K539" i="11"/>
  <c r="G540" i="11" s="1"/>
  <c r="H540" i="11" s="1"/>
  <c r="L539" i="11"/>
  <c r="C564" i="12" s="1"/>
  <c r="J540" i="11"/>
  <c r="I540" i="11" l="1"/>
  <c r="N540" i="11" s="1"/>
  <c r="K540" i="11" l="1"/>
  <c r="G541" i="11" s="1"/>
  <c r="H541" i="11" s="1"/>
  <c r="L540" i="11"/>
  <c r="C565" i="12" s="1"/>
  <c r="J541" i="11"/>
  <c r="I541" i="11" l="1"/>
  <c r="N541" i="11" s="1"/>
  <c r="K541" i="11" l="1"/>
  <c r="G542" i="11" s="1"/>
  <c r="L541" i="11"/>
  <c r="C566" i="12" s="1"/>
  <c r="J542" i="11" l="1"/>
  <c r="I542" i="11" s="1"/>
  <c r="H542" i="11"/>
  <c r="N542" i="11"/>
  <c r="K542" i="11"/>
  <c r="G543" i="11" s="1"/>
  <c r="L542" i="11"/>
  <c r="C567" i="12" s="1"/>
  <c r="J543" i="11" l="1"/>
  <c r="I543" i="11" s="1"/>
  <c r="H543" i="11"/>
  <c r="N543" i="11"/>
  <c r="K543" i="11"/>
  <c r="G544" i="11" s="1"/>
  <c r="H544" i="11" s="1"/>
  <c r="L543" i="11"/>
  <c r="C568" i="12" s="1"/>
  <c r="J544" i="11"/>
  <c r="I544" i="11" l="1"/>
  <c r="N544" i="11" s="1"/>
  <c r="K544" i="11"/>
  <c r="G545" i="11" s="1"/>
  <c r="H545" i="11" s="1"/>
  <c r="L544" i="11" l="1"/>
  <c r="C569" i="12" s="1"/>
  <c r="J545" i="11"/>
  <c r="I545" i="11" l="1"/>
  <c r="N545" i="11" s="1"/>
  <c r="K545" i="11" l="1"/>
  <c r="G546" i="11" s="1"/>
  <c r="H546" i="11" s="1"/>
  <c r="L545" i="11"/>
  <c r="C570" i="12" s="1"/>
  <c r="J546" i="11"/>
  <c r="I546" i="11" l="1"/>
  <c r="N546" i="11" s="1"/>
  <c r="K546" i="11" l="1"/>
  <c r="G547" i="11" s="1"/>
  <c r="H547" i="11" s="1"/>
  <c r="L546" i="11"/>
  <c r="C571" i="12" s="1"/>
  <c r="J547" i="11"/>
  <c r="I547" i="11" l="1"/>
  <c r="N547" i="11" s="1"/>
  <c r="K547" i="11"/>
  <c r="G548" i="11" s="1"/>
  <c r="H548" i="11" s="1"/>
  <c r="L547" i="11" l="1"/>
  <c r="C572" i="12" s="1"/>
  <c r="J548" i="11"/>
  <c r="I548" i="11" l="1"/>
  <c r="N548" i="11" s="1"/>
  <c r="K548" i="11" l="1"/>
  <c r="G549" i="11" s="1"/>
  <c r="L548" i="11"/>
  <c r="C573" i="12" s="1"/>
  <c r="J549" i="11" l="1"/>
  <c r="I549" i="11" s="1"/>
  <c r="H549" i="11"/>
  <c r="N549" i="11"/>
  <c r="K549" i="11"/>
  <c r="G550" i="11" s="1"/>
  <c r="H550" i="11" s="1"/>
  <c r="L549" i="11"/>
  <c r="C574" i="12" s="1"/>
  <c r="J550" i="11"/>
  <c r="I550" i="11" l="1"/>
  <c r="N550" i="11" s="1"/>
  <c r="K550" i="11" l="1"/>
  <c r="G551" i="11" s="1"/>
  <c r="L550" i="11"/>
  <c r="C575" i="12" s="1"/>
  <c r="J551" i="11" l="1"/>
  <c r="I551" i="11" s="1"/>
  <c r="H551" i="11"/>
  <c r="N551" i="11"/>
  <c r="K551" i="11"/>
  <c r="G552" i="11" s="1"/>
  <c r="L551" i="11"/>
  <c r="C576" i="12" s="1"/>
  <c r="J552" i="11" l="1"/>
  <c r="I552" i="11" s="1"/>
  <c r="H552" i="11"/>
  <c r="N552" i="11"/>
  <c r="K552" i="11"/>
  <c r="G553" i="11" s="1"/>
  <c r="H553" i="11" s="1"/>
  <c r="L552" i="11"/>
  <c r="C577" i="12" s="1"/>
  <c r="J553" i="11"/>
  <c r="I553" i="11" l="1"/>
  <c r="N553" i="11" s="1"/>
  <c r="K553" i="11" l="1"/>
  <c r="G554" i="11" s="1"/>
  <c r="L553" i="11"/>
  <c r="C578" i="12" s="1"/>
  <c r="J554" i="11" l="1"/>
  <c r="I554" i="11" s="1"/>
  <c r="H554" i="11"/>
  <c r="N554" i="11"/>
  <c r="K554" i="11"/>
  <c r="G555" i="11" s="1"/>
  <c r="H555" i="11" s="1"/>
  <c r="L554" i="11"/>
  <c r="C579" i="12" s="1"/>
  <c r="J555" i="11"/>
  <c r="I555" i="11" l="1"/>
  <c r="N555" i="11" s="1"/>
  <c r="K555" i="11" l="1"/>
  <c r="G556" i="11" s="1"/>
  <c r="H556" i="11" s="1"/>
  <c r="L555" i="11"/>
  <c r="C580" i="12" s="1"/>
  <c r="J556" i="11"/>
  <c r="I556" i="11" l="1"/>
  <c r="N556" i="11" s="1"/>
  <c r="K556" i="11"/>
  <c r="G557" i="11" s="1"/>
  <c r="J557" i="11" l="1"/>
  <c r="H557" i="11"/>
  <c r="L556" i="11"/>
  <c r="C581" i="12" s="1"/>
  <c r="I557" i="11"/>
  <c r="N557" i="11" s="1"/>
  <c r="K557" i="11" l="1"/>
  <c r="G558" i="11" s="1"/>
  <c r="L557" i="11"/>
  <c r="C582" i="12" s="1"/>
  <c r="J558" i="11" l="1"/>
  <c r="I558" i="11" s="1"/>
  <c r="H558" i="11"/>
  <c r="N558" i="11"/>
  <c r="K558" i="11"/>
  <c r="G559" i="11" s="1"/>
  <c r="H559" i="11" s="1"/>
  <c r="L558" i="11"/>
  <c r="C583" i="12" s="1"/>
  <c r="J559" i="11"/>
  <c r="I559" i="11" l="1"/>
  <c r="N559" i="11" s="1"/>
  <c r="K559" i="11"/>
  <c r="G560" i="11" s="1"/>
  <c r="H560" i="11" s="1"/>
  <c r="L559" i="11" l="1"/>
  <c r="C584" i="12" s="1"/>
  <c r="J560" i="11"/>
  <c r="I560" i="11" l="1"/>
  <c r="N560" i="11" s="1"/>
  <c r="K560" i="11" l="1"/>
  <c r="G561" i="11" s="1"/>
  <c r="H561" i="11" s="1"/>
  <c r="L560" i="11"/>
  <c r="C585" i="12" s="1"/>
  <c r="J561" i="11"/>
  <c r="I561" i="11" l="1"/>
  <c r="N561" i="11" s="1"/>
  <c r="K561" i="11"/>
  <c r="G562" i="11" s="1"/>
  <c r="H562" i="11" s="1"/>
  <c r="J562" i="11"/>
  <c r="L561" i="11" l="1"/>
  <c r="C586" i="12" s="1"/>
  <c r="I562" i="11"/>
  <c r="N562" i="11" s="1"/>
  <c r="K562" i="11" l="1"/>
  <c r="G563" i="11" s="1"/>
  <c r="L562" i="11"/>
  <c r="C587" i="12" s="1"/>
  <c r="J563" i="11" l="1"/>
  <c r="I563" i="11" s="1"/>
  <c r="H563" i="11"/>
  <c r="N563" i="11"/>
  <c r="K563" i="11"/>
  <c r="G564" i="11" s="1"/>
  <c r="H564" i="11" s="1"/>
  <c r="L563" i="11"/>
  <c r="C588" i="12" s="1"/>
  <c r="J564" i="11"/>
  <c r="I564" i="11" l="1"/>
  <c r="N564" i="11" s="1"/>
  <c r="K564" i="11" l="1"/>
  <c r="G565" i="11" s="1"/>
  <c r="H565" i="11" s="1"/>
  <c r="L564" i="11"/>
  <c r="C589" i="12" s="1"/>
  <c r="J565" i="11"/>
  <c r="I565" i="11" l="1"/>
  <c r="N565" i="11" s="1"/>
  <c r="K565" i="11" l="1"/>
  <c r="G566" i="11" s="1"/>
  <c r="H566" i="11" s="1"/>
  <c r="L565" i="11"/>
  <c r="C590" i="12" s="1"/>
  <c r="J566" i="11"/>
  <c r="I566" i="11" l="1"/>
  <c r="N566" i="11" s="1"/>
  <c r="K566" i="11" l="1"/>
  <c r="G567" i="11" s="1"/>
  <c r="H567" i="11" s="1"/>
  <c r="L566" i="11"/>
  <c r="C591" i="12" s="1"/>
  <c r="J567" i="11"/>
  <c r="I567" i="11" l="1"/>
  <c r="N567" i="11" s="1"/>
  <c r="K567" i="11" l="1"/>
  <c r="G568" i="11" s="1"/>
  <c r="H568" i="11" s="1"/>
  <c r="L567" i="11"/>
  <c r="C592" i="12" s="1"/>
  <c r="J568" i="11"/>
  <c r="I568" i="11" l="1"/>
  <c r="N568" i="11" s="1"/>
  <c r="K568" i="11" l="1"/>
  <c r="G569" i="11" s="1"/>
  <c r="L568" i="11"/>
  <c r="C593" i="12" s="1"/>
  <c r="J569" i="11" l="1"/>
  <c r="I569" i="11" s="1"/>
  <c r="H569" i="11"/>
  <c r="N569" i="11"/>
  <c r="K569" i="11"/>
  <c r="G570" i="11" s="1"/>
  <c r="H570" i="11" s="1"/>
  <c r="L569" i="11"/>
  <c r="C594" i="12" s="1"/>
  <c r="J570" i="11"/>
  <c r="I570" i="11" l="1"/>
  <c r="N570" i="11" s="1"/>
  <c r="K570" i="11" l="1"/>
  <c r="G571" i="11" s="1"/>
  <c r="H571" i="11" s="1"/>
  <c r="L570" i="11"/>
  <c r="C595" i="12" s="1"/>
  <c r="J571" i="11"/>
  <c r="I571" i="11" l="1"/>
  <c r="N571" i="11" s="1"/>
  <c r="K571" i="11" l="1"/>
  <c r="G572" i="11" s="1"/>
  <c r="L571" i="11"/>
  <c r="C596" i="12" s="1"/>
  <c r="J572" i="11" l="1"/>
  <c r="I572" i="11" s="1"/>
  <c r="H572" i="11"/>
  <c r="N572" i="11"/>
  <c r="K572" i="11"/>
  <c r="G573" i="11" s="1"/>
  <c r="H573" i="11" s="1"/>
  <c r="L572" i="11"/>
  <c r="C597" i="12" s="1"/>
  <c r="J573" i="11"/>
  <c r="I573" i="11" l="1"/>
  <c r="N573" i="11" s="1"/>
  <c r="K573" i="11" l="1"/>
  <c r="G574" i="11" s="1"/>
  <c r="H574" i="11" s="1"/>
  <c r="L573" i="11"/>
  <c r="C598" i="12" s="1"/>
  <c r="J574" i="11"/>
  <c r="I574" i="11" l="1"/>
  <c r="N574" i="11" s="1"/>
  <c r="K574" i="11"/>
  <c r="G575" i="11" s="1"/>
  <c r="H575" i="11" s="1"/>
  <c r="L574" i="11" l="1"/>
  <c r="C599" i="12" s="1"/>
  <c r="J575" i="11"/>
  <c r="I575" i="11" l="1"/>
  <c r="N575" i="11" s="1"/>
  <c r="K575" i="11" l="1"/>
  <c r="G576" i="11" s="1"/>
  <c r="H576" i="11" s="1"/>
  <c r="L575" i="11"/>
  <c r="C600" i="12" s="1"/>
  <c r="J576" i="11"/>
  <c r="I576" i="11" l="1"/>
  <c r="N576" i="11" s="1"/>
  <c r="K576" i="11" l="1"/>
  <c r="G577" i="11" s="1"/>
  <c r="H577" i="11" s="1"/>
  <c r="L576" i="11"/>
  <c r="C601" i="12" s="1"/>
  <c r="J577" i="11"/>
  <c r="I577" i="11" l="1"/>
  <c r="N577" i="11" s="1"/>
  <c r="K577" i="11" l="1"/>
  <c r="G578" i="11" s="1"/>
  <c r="L577" i="11"/>
  <c r="C602" i="12" s="1"/>
  <c r="J578" i="11" l="1"/>
  <c r="I578" i="11" s="1"/>
  <c r="H578" i="11"/>
  <c r="N578" i="11"/>
  <c r="K578" i="11"/>
  <c r="G579" i="11" s="1"/>
  <c r="H579" i="11" s="1"/>
  <c r="L578" i="11"/>
  <c r="C603" i="12" s="1"/>
  <c r="J579" i="11"/>
  <c r="I579" i="11" l="1"/>
  <c r="N579" i="11" s="1"/>
  <c r="K579" i="11" l="1"/>
  <c r="G580" i="11" s="1"/>
  <c r="H580" i="11" s="1"/>
  <c r="L579" i="11"/>
  <c r="C604" i="12" s="1"/>
  <c r="J580" i="11"/>
  <c r="I580" i="11" l="1"/>
  <c r="N580" i="11" s="1"/>
  <c r="K580" i="11" l="1"/>
  <c r="G581" i="11" s="1"/>
  <c r="H581" i="11" s="1"/>
  <c r="L580" i="11"/>
  <c r="C605" i="12" s="1"/>
  <c r="J581" i="11"/>
  <c r="I581" i="11" l="1"/>
  <c r="N581" i="11" s="1"/>
  <c r="K581" i="11" l="1"/>
  <c r="G582" i="11" s="1"/>
  <c r="H582" i="11" s="1"/>
  <c r="L581" i="11"/>
  <c r="C606" i="12" s="1"/>
  <c r="J582" i="11"/>
  <c r="I582" i="11" l="1"/>
  <c r="N582" i="11" s="1"/>
  <c r="K582" i="11" l="1"/>
  <c r="G583" i="11" s="1"/>
  <c r="L582" i="11"/>
  <c r="C607" i="12" s="1"/>
  <c r="J583" i="11" l="1"/>
  <c r="I583" i="11" s="1"/>
  <c r="H583" i="11"/>
  <c r="N583" i="11"/>
  <c r="K583" i="11"/>
  <c r="G584" i="11" s="1"/>
  <c r="H584" i="11" s="1"/>
  <c r="L583" i="11"/>
  <c r="C608" i="12" s="1"/>
  <c r="J584" i="11"/>
  <c r="I584" i="11" l="1"/>
  <c r="N584" i="11" s="1"/>
  <c r="K584" i="11"/>
  <c r="G585" i="11" s="1"/>
  <c r="H585" i="11" s="1"/>
  <c r="L584" i="11" l="1"/>
  <c r="C609" i="12" s="1"/>
  <c r="J585" i="11"/>
  <c r="I585" i="11" l="1"/>
  <c r="N585" i="11" s="1"/>
  <c r="K585" i="11" l="1"/>
  <c r="G586" i="11" s="1"/>
  <c r="H586" i="11" s="1"/>
  <c r="L585" i="11"/>
  <c r="C610" i="12" s="1"/>
  <c r="J586" i="11"/>
  <c r="I586" i="11" l="1"/>
  <c r="N586" i="11" s="1"/>
  <c r="K586" i="11" l="1"/>
  <c r="G587" i="11" s="1"/>
  <c r="H587" i="11" s="1"/>
  <c r="L586" i="11"/>
  <c r="C611" i="12" s="1"/>
  <c r="J587" i="11"/>
  <c r="I587" i="11" l="1"/>
  <c r="N587" i="11" s="1"/>
  <c r="K587" i="11" l="1"/>
  <c r="G588" i="11" s="1"/>
  <c r="H588" i="11" s="1"/>
  <c r="L587" i="11"/>
  <c r="C612" i="12" s="1"/>
  <c r="J588" i="11"/>
  <c r="I588" i="11" l="1"/>
  <c r="N588" i="11" s="1"/>
  <c r="K588" i="11" l="1"/>
  <c r="G589" i="11" s="1"/>
  <c r="H589" i="11" s="1"/>
  <c r="L588" i="11"/>
  <c r="C613" i="12" s="1"/>
  <c r="J589" i="11"/>
  <c r="I589" i="11" l="1"/>
  <c r="N589" i="11" s="1"/>
  <c r="K589" i="11" l="1"/>
  <c r="G590" i="11" s="1"/>
  <c r="H590" i="11" s="1"/>
  <c r="L589" i="11"/>
  <c r="C614" i="12" s="1"/>
  <c r="J590" i="11"/>
  <c r="I590" i="11" l="1"/>
  <c r="N590" i="11" s="1"/>
  <c r="K590" i="11" l="1"/>
  <c r="G591" i="11" s="1"/>
  <c r="H591" i="11" s="1"/>
  <c r="L590" i="11"/>
  <c r="C615" i="12" s="1"/>
  <c r="J591" i="11"/>
  <c r="I591" i="11" l="1"/>
  <c r="N591" i="11" s="1"/>
  <c r="K591" i="11" l="1"/>
  <c r="G592" i="11" s="1"/>
  <c r="H592" i="11" s="1"/>
  <c r="L591" i="11"/>
  <c r="C616" i="12" s="1"/>
  <c r="J592" i="11"/>
  <c r="I592" i="11" l="1"/>
  <c r="N592" i="11" s="1"/>
  <c r="K592" i="11" l="1"/>
  <c r="G593" i="11" s="1"/>
  <c r="H593" i="11" s="1"/>
  <c r="L592" i="11"/>
  <c r="C617" i="12" s="1"/>
  <c r="J593" i="11"/>
  <c r="I593" i="11" l="1"/>
  <c r="N593" i="11" s="1"/>
  <c r="K593" i="11" l="1"/>
  <c r="G594" i="11" s="1"/>
  <c r="H594" i="11" s="1"/>
  <c r="L593" i="11"/>
  <c r="C618" i="12" s="1"/>
  <c r="J594" i="11"/>
  <c r="I594" i="11" l="1"/>
  <c r="N594" i="11" s="1"/>
  <c r="K594" i="11"/>
  <c r="G595" i="11" s="1"/>
  <c r="H595" i="11" s="1"/>
  <c r="L594" i="11" l="1"/>
  <c r="C619" i="12" s="1"/>
  <c r="J595" i="11"/>
  <c r="I595" i="11" l="1"/>
  <c r="N595" i="11" s="1"/>
  <c r="K595" i="11" l="1"/>
  <c r="G596" i="11" s="1"/>
  <c r="H596" i="11" s="1"/>
  <c r="L595" i="11"/>
  <c r="C620" i="12" s="1"/>
  <c r="J596" i="11"/>
  <c r="I596" i="11" l="1"/>
  <c r="N596" i="11" s="1"/>
  <c r="K596" i="11" l="1"/>
  <c r="G597" i="11" s="1"/>
  <c r="H597" i="11" s="1"/>
  <c r="L596" i="11"/>
  <c r="C621" i="12" s="1"/>
  <c r="J597" i="11"/>
  <c r="I597" i="11" l="1"/>
  <c r="N597" i="11" s="1"/>
  <c r="K597" i="11" l="1"/>
  <c r="G598" i="11" s="1"/>
  <c r="H598" i="11" s="1"/>
  <c r="L597" i="11"/>
  <c r="C622" i="12" s="1"/>
  <c r="J598" i="11"/>
  <c r="I598" i="11" l="1"/>
  <c r="N598" i="11" s="1"/>
  <c r="K598" i="11"/>
  <c r="G599" i="11" s="1"/>
  <c r="J599" i="11" l="1"/>
  <c r="H599" i="11"/>
  <c r="L598" i="11"/>
  <c r="C623" i="12" s="1"/>
  <c r="I599" i="11"/>
  <c r="N599" i="11" s="1"/>
  <c r="K599" i="11" l="1"/>
  <c r="G600" i="11" s="1"/>
  <c r="H600" i="11" s="1"/>
  <c r="L599" i="11"/>
  <c r="C624" i="12" s="1"/>
  <c r="J600" i="11"/>
  <c r="I600" i="11" l="1"/>
  <c r="N600" i="11" s="1"/>
  <c r="K600" i="11" l="1"/>
  <c r="G601" i="11" s="1"/>
  <c r="H601" i="11" s="1"/>
  <c r="L600" i="11"/>
  <c r="C625" i="12" s="1"/>
  <c r="J601" i="11"/>
  <c r="I601" i="11" l="1"/>
  <c r="N601" i="11" s="1"/>
  <c r="K601" i="11" l="1"/>
  <c r="G602" i="11" s="1"/>
  <c r="H602" i="11" s="1"/>
  <c r="L601" i="11"/>
  <c r="C626" i="12" s="1"/>
  <c r="J602" i="11"/>
  <c r="I602" i="11" l="1"/>
  <c r="N602" i="11" s="1"/>
  <c r="K602" i="11" l="1"/>
  <c r="G603" i="11" s="1"/>
  <c r="H603" i="11" s="1"/>
  <c r="L602" i="11"/>
  <c r="C627" i="12" s="1"/>
  <c r="J603" i="11"/>
  <c r="I603" i="11" l="1"/>
  <c r="N603" i="11" s="1"/>
  <c r="K603" i="11" l="1"/>
  <c r="G604" i="11" s="1"/>
  <c r="H604" i="11" s="1"/>
  <c r="L603" i="11"/>
  <c r="C628" i="12" s="1"/>
  <c r="J604" i="11"/>
  <c r="I604" i="11" l="1"/>
  <c r="N604" i="11" s="1"/>
  <c r="K604" i="11" l="1"/>
  <c r="G605" i="11" s="1"/>
  <c r="H605" i="11" s="1"/>
  <c r="L604" i="11"/>
  <c r="C629" i="12" s="1"/>
  <c r="J605" i="11"/>
  <c r="I605" i="11" l="1"/>
  <c r="K605" i="11" s="1"/>
  <c r="P5" i="11" l="1"/>
  <c r="N605" i="11"/>
  <c r="O5" i="11" s="1"/>
  <c r="L605" i="11"/>
  <c r="H23" i="2" l="1"/>
  <c r="H26" i="1" s="1"/>
  <c r="C630" i="12"/>
  <c r="Q5" i="11"/>
  <c r="H24" i="2" s="1"/>
  <c r="D2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<sst xmlns="http://schemas.openxmlformats.org/spreadsheetml/2006/main" count="348" uniqueCount="282">
  <si>
    <t>PRO FORMA</t>
  </si>
  <si>
    <t>Investment Name</t>
  </si>
  <si>
    <t>Investment Number</t>
  </si>
  <si>
    <t>Property Address</t>
  </si>
  <si>
    <t>Property City</t>
  </si>
  <si>
    <t>Property State</t>
  </si>
  <si>
    <t>Property Zip Code</t>
  </si>
  <si>
    <t>[City]</t>
  </si>
  <si>
    <t>[12345]</t>
  </si>
  <si>
    <t>[Property Address]</t>
  </si>
  <si>
    <t>[State]</t>
  </si>
  <si>
    <t>Property Type</t>
  </si>
  <si>
    <t>Apartment</t>
  </si>
  <si>
    <t>Land Area (SF)</t>
  </si>
  <si>
    <t>Year Built</t>
  </si>
  <si>
    <t>[1999]</t>
  </si>
  <si>
    <t>[99999]</t>
  </si>
  <si>
    <t>Sources</t>
  </si>
  <si>
    <t>Uses</t>
  </si>
  <si>
    <t>Mortgage Debt</t>
  </si>
  <si>
    <t>Closing Costs</t>
  </si>
  <si>
    <t>Broker Fee</t>
  </si>
  <si>
    <t>Notes</t>
  </si>
  <si>
    <t>[Enter notes here]</t>
  </si>
  <si>
    <t>Gross Potential Rent</t>
  </si>
  <si>
    <t>Less Vacancy</t>
  </si>
  <si>
    <t>Less Concessions</t>
  </si>
  <si>
    <t>Less Bad Debt</t>
  </si>
  <si>
    <t>Effective Rental Income</t>
  </si>
  <si>
    <t>Reimbursement Income</t>
  </si>
  <si>
    <t>Parking Income</t>
  </si>
  <si>
    <t>Storage Income</t>
  </si>
  <si>
    <t>Other Income</t>
  </si>
  <si>
    <t>Total Other Income</t>
  </si>
  <si>
    <t>Effective Gross Revenue</t>
  </si>
  <si>
    <t>Utilities</t>
  </si>
  <si>
    <t>Repairs &amp; Maintenance</t>
  </si>
  <si>
    <t>Turnover &amp; Make Ready</t>
  </si>
  <si>
    <t>Landscaping</t>
  </si>
  <si>
    <t>Management Fee</t>
  </si>
  <si>
    <t>Payroll</t>
  </si>
  <si>
    <t>Marketing</t>
  </si>
  <si>
    <t>Administrative</t>
  </si>
  <si>
    <t>Real Estate Taxes</t>
  </si>
  <si>
    <t>Insurance</t>
  </si>
  <si>
    <t>Total Operating Expenses</t>
  </si>
  <si>
    <t>Replacement Reserves</t>
  </si>
  <si>
    <t>Non-Revenue Units</t>
  </si>
  <si>
    <t>Trash Collection</t>
  </si>
  <si>
    <t>Amount</t>
  </si>
  <si>
    <t>Pro Forma</t>
  </si>
  <si>
    <t>Net Operating Income</t>
  </si>
  <si>
    <t>[Insert notes here]</t>
  </si>
  <si>
    <t>% of GPR</t>
  </si>
  <si>
    <t>DATA VALIDATION</t>
  </si>
  <si>
    <t>Retail</t>
  </si>
  <si>
    <t>Industrial</t>
  </si>
  <si>
    <t>Office</t>
  </si>
  <si>
    <t>Senior Housing</t>
  </si>
  <si>
    <t>Student Housing</t>
  </si>
  <si>
    <t>Self-Storage</t>
  </si>
  <si>
    <t>Manufactured Housing</t>
  </si>
  <si>
    <t>Hotel</t>
  </si>
  <si>
    <t>Unit</t>
  </si>
  <si>
    <t>Unit Type (Singular)</t>
  </si>
  <si>
    <t>Unit Type (Plural)</t>
  </si>
  <si>
    <t>Units</t>
  </si>
  <si>
    <t>NRA</t>
  </si>
  <si>
    <t>Bed</t>
  </si>
  <si>
    <t>Beds</t>
  </si>
  <si>
    <t>Room</t>
  </si>
  <si>
    <t>Rooms</t>
  </si>
  <si>
    <t>Underwritten NOI</t>
  </si>
  <si>
    <t>Investment Information</t>
  </si>
  <si>
    <t>Loan Type</t>
  </si>
  <si>
    <t>Acquisition</t>
  </si>
  <si>
    <t>Refinance</t>
  </si>
  <si>
    <t>Underwritten Cap Rate</t>
  </si>
  <si>
    <t>Underwritten Value</t>
  </si>
  <si>
    <t>LTV</t>
  </si>
  <si>
    <t>% of Value</t>
  </si>
  <si>
    <t>Total Sources</t>
  </si>
  <si>
    <t>Total Uses</t>
  </si>
  <si>
    <t>Yes</t>
  </si>
  <si>
    <t>Debt Yield Test</t>
  </si>
  <si>
    <t>Loan-to-Value Test</t>
  </si>
  <si>
    <t>Underwriting</t>
  </si>
  <si>
    <t>Loan Term</t>
  </si>
  <si>
    <t>Interest-Only (Years)</t>
  </si>
  <si>
    <t>Amortization</t>
  </si>
  <si>
    <t>Interest Rate</t>
  </si>
  <si>
    <t>Spread</t>
  </si>
  <si>
    <t>Maximum Loan Amount</t>
  </si>
  <si>
    <t>Max Loan</t>
  </si>
  <si>
    <t>Proposed Loan Amount</t>
  </si>
  <si>
    <t>Pass/Fail</t>
  </si>
  <si>
    <t>Debt Yield</t>
  </si>
  <si>
    <t>Loan Sizing</t>
  </si>
  <si>
    <t>Interest-Only Payment (Monthly)</t>
  </si>
  <si>
    <t>Amortizing Payment (Monthly)</t>
  </si>
  <si>
    <t>Debt Service Coverage (IO) Test</t>
  </si>
  <si>
    <t>Debt Service Coverage (Amort) Test</t>
  </si>
  <si>
    <t>DSCR (Amortizing)</t>
  </si>
  <si>
    <t>DSCR (Interest-Only)</t>
  </si>
  <si>
    <t>LOAN SUMMARY</t>
  </si>
  <si>
    <t>Proposed Loan Terms</t>
  </si>
  <si>
    <t>Loan Amount</t>
  </si>
  <si>
    <t>Loan Metrics</t>
  </si>
  <si>
    <t>Model Resources</t>
  </si>
  <si>
    <t>Changelog</t>
  </si>
  <si>
    <t>Compatibility</t>
  </si>
  <si>
    <t>Excel 2013</t>
  </si>
  <si>
    <t>Excel 2016</t>
  </si>
  <si>
    <t>Excel 365</t>
  </si>
  <si>
    <t>Author: Spencer Burton</t>
  </si>
  <si>
    <t>Important Links:</t>
  </si>
  <si>
    <t>https://www.adventuresincre.com/</t>
  </si>
  <si>
    <t>Visit this Model's Webpage</t>
  </si>
  <si>
    <t>Browse our entire Library of Real Estate Models</t>
  </si>
  <si>
    <t>View other Debt Models</t>
  </si>
  <si>
    <t>- Misc formatting changes</t>
  </si>
  <si>
    <t>- Added refinance risk module</t>
  </si>
  <si>
    <t>[Investment Name]</t>
  </si>
  <si>
    <t>Underwriting Summary</t>
  </si>
  <si>
    <t>Pro Forma Summary</t>
  </si>
  <si>
    <t>Base NOI</t>
  </si>
  <si>
    <t>Reduction in NOI</t>
  </si>
  <si>
    <t>Level 5</t>
  </si>
  <si>
    <t>Level 4</t>
  </si>
  <si>
    <t>Level 3</t>
  </si>
  <si>
    <t>Level 2</t>
  </si>
  <si>
    <t>Level 1</t>
  </si>
  <si>
    <t>Refinance Sensitivity Analysis</t>
  </si>
  <si>
    <t>Market Mortgage Interest Rate</t>
  </si>
  <si>
    <t>Spread Above Interpolated</t>
  </si>
  <si>
    <t>10 Year Treasury</t>
  </si>
  <si>
    <t>Refinance Proceeds</t>
  </si>
  <si>
    <t>Existing Loan Balance</t>
  </si>
  <si>
    <t>Projected Loan Amount</t>
  </si>
  <si>
    <t>Loan Amount @ Market Debt Yield</t>
  </si>
  <si>
    <t>Market Debt Yield</t>
  </si>
  <si>
    <t>Loan Amount @ Market NOI DSC</t>
  </si>
  <si>
    <t>Market Amortization</t>
  </si>
  <si>
    <t>Market NOI DSC</t>
  </si>
  <si>
    <t>Loan Amount @ Market LTV</t>
  </si>
  <si>
    <t>Market LTV</t>
  </si>
  <si>
    <t>Refinance Assumptions</t>
  </si>
  <si>
    <t>Loan to Value</t>
  </si>
  <si>
    <t>Debt Service Coverage</t>
  </si>
  <si>
    <t>Risk Metrics</t>
  </si>
  <si>
    <t>Net Proceeds</t>
  </si>
  <si>
    <t>Terminal NOI Cap Rate</t>
  </si>
  <si>
    <t>Disposition Assumptions</t>
  </si>
  <si>
    <t>Cash Flow After Debt Service</t>
  </si>
  <si>
    <t>- Debt Service (No I/O)</t>
  </si>
  <si>
    <t>Year ending</t>
  </si>
  <si>
    <t>REFINANCE ANALYSIS</t>
  </si>
  <si>
    <t>Cap Rate Growth</t>
  </si>
  <si>
    <t>Valuation</t>
  </si>
  <si>
    <t>Interest Rate Assumptions</t>
  </si>
  <si>
    <t>Int. Rate Growth</t>
  </si>
  <si>
    <t>Medical Office</t>
  </si>
  <si>
    <t>v1.11</t>
  </si>
  <si>
    <t>- Added Medical Office property type</t>
  </si>
  <si>
    <t>- Minor changes to Refinance Analysis assumptions</t>
  </si>
  <si>
    <t>v1.10</t>
  </si>
  <si>
    <t>COMMERCIAL MORTGAGE LOAN ANALYSIS MODEL - VERSION NOTES</t>
  </si>
  <si>
    <t>- Changed name of model to Commercial Mortgage Loan Analysis Model, to clarify that it's NOT for residential loans</t>
  </si>
  <si>
    <t>Operating Expenses</t>
  </si>
  <si>
    <t>- Misc. formatting changes</t>
  </si>
  <si>
    <t>Loan Parameters</t>
  </si>
  <si>
    <t>Balloon Balance</t>
  </si>
  <si>
    <t>Disclaimer: This model may contain errors</t>
  </si>
  <si>
    <t xml:space="preserve">LEARN TO BUILD INSTITUTIONAL-QUALITY REAL ESTATE MODELS FROM SCRATCH
- CLICK HERE TO LEARN MORE - </t>
  </si>
  <si>
    <t>AdventuresinCRE.com and its affiliates do not provide tax, legal, investment, or accounting advice. This material has been prepared for informational purposes only, and is not intended to provide, and should not be relied on for, tax, legal or accounting advice. You should consult your own tax, legal and accounting advisors before engaging in any transaction. This model may contains errors. Verify all calculations being using this model to make investment decisions.</t>
  </si>
  <si>
    <t>AMORTIZATION SCHEDULE</t>
  </si>
  <si>
    <t>Period</t>
  </si>
  <si>
    <t>EO Month</t>
  </si>
  <si>
    <t>Payment</t>
  </si>
  <si>
    <t>Principal</t>
  </si>
  <si>
    <t>Interest</t>
  </si>
  <si>
    <t>Beg. Balance</t>
  </si>
  <si>
    <t>End. Balance</t>
  </si>
  <si>
    <t>Lender CF</t>
  </si>
  <si>
    <t>Years</t>
  </si>
  <si>
    <t>Months</t>
  </si>
  <si>
    <t>- Added max 50 year loan term to Loan Sizing / Loan Parameters</t>
  </si>
  <si>
    <t>Loan Closing Date</t>
  </si>
  <si>
    <t>IO?</t>
  </si>
  <si>
    <t>Ann. Rate</t>
  </si>
  <si>
    <t>Loan Fee</t>
  </si>
  <si>
    <t>Lender Yield (APR)</t>
  </si>
  <si>
    <t>30/360</t>
  </si>
  <si>
    <t>Days</t>
  </si>
  <si>
    <t>LOAN TERMS</t>
  </si>
  <si>
    <t>- Renamed Loan Sizing tab to Loan Terms tab to better represent its purpose</t>
  </si>
  <si>
    <t>- Added Loan Fee and Lender Yield to Loan Terms tab</t>
  </si>
  <si>
    <t>- Added Loan Type toggle to Loan Terms tab to accommodate 30/360, Actual/360, and Actual/365 interest calc</t>
  </si>
  <si>
    <t>- Moved Loan Closing date assumption from Refinance Analysis tab to Loan Terms tab</t>
  </si>
  <si>
    <t>- Created Amortization report tab</t>
  </si>
  <si>
    <t>- Tracking Payment, Principal, Interest, and Balance</t>
  </si>
  <si>
    <t>v2.0</t>
  </si>
  <si>
    <t>Coverage Test</t>
  </si>
  <si>
    <t>- Minor changes to headings on Loan Terms tab</t>
  </si>
  <si>
    <t>T12</t>
  </si>
  <si>
    <t>Pro Forma Underwriting Notes</t>
  </si>
  <si>
    <t>- Added Trailing 12 Months actuals section to Pro Forma tab to help develop Underwriting Pro Forma</t>
  </si>
  <si>
    <t>- Dynamic Print Range with custom footer</t>
  </si>
  <si>
    <t>- Added Print Range and footer to Loan Summary, Pro Forma, Loan Terms, and Refinance Analysis Tabs</t>
  </si>
  <si>
    <t>WEIGHTED AVERAGE LIFE CALCULATION</t>
  </si>
  <si>
    <t>Weight</t>
  </si>
  <si>
    <t>Total Weight</t>
  </si>
  <si>
    <t>Total Principal</t>
  </si>
  <si>
    <t>WAL</t>
  </si>
  <si>
    <t>Average Life (WAL)</t>
  </si>
  <si>
    <t>- Weighted Average Life (WAL) module added</t>
  </si>
  <si>
    <t>- Created section on Amortization tab to calculate WAL</t>
  </si>
  <si>
    <t>- Included Average Life (WAL) result on Loan Terms and Loan Summary tabs</t>
  </si>
  <si>
    <t>- Calculating Lender Yield; reported to Loan Terms and Loan Summary tabs</t>
  </si>
  <si>
    <t>v2.1</t>
  </si>
  <si>
    <t>- Fixed issue where Payment amount during IO period was incorrectly calculated for non-30/360 interest calc scenarios</t>
  </si>
  <si>
    <t>- Misc. formatting enhancements</t>
  </si>
  <si>
    <t>v2.2</t>
  </si>
  <si>
    <t>Updated 10-Yr UST default rate on Loan Terms tab</t>
  </si>
  <si>
    <t>- Existing Loan Balance*</t>
  </si>
  <si>
    <t>* Existing Loan Balance as of the beginning of the last month of each year</t>
  </si>
  <si>
    <t>Fixed issue on 'Refinance analysis' tab where 'Existing Loan Balance' (row 13) wasn't calculating correctly when partial-IO is used</t>
  </si>
  <si>
    <t>Misc. updates to placeholder values</t>
  </si>
  <si>
    <t>PREPAYMENT ANALYSIS</t>
  </si>
  <si>
    <t>Prepayment Assumptions</t>
  </si>
  <si>
    <t>Prepayment Month</t>
  </si>
  <si>
    <t>Prepayment Fee Method</t>
  </si>
  <si>
    <t>Minimum Prepayment Fee</t>
  </si>
  <si>
    <t>Remaining Term</t>
  </si>
  <si>
    <t>Benchmark Assumptions</t>
  </si>
  <si>
    <t>Benchmark</t>
  </si>
  <si>
    <t>UST</t>
  </si>
  <si>
    <t>https://www.treasury.gov/resource-center/data-chart-center/interest-rates/Pages/TextView.aspx?data=yield</t>
  </si>
  <si>
    <t>Effective Rate</t>
  </si>
  <si>
    <t>Yield Maintenance</t>
  </si>
  <si>
    <t>Discount Rate</t>
  </si>
  <si>
    <t>Prepayment Summary</t>
  </si>
  <si>
    <t>Prepayment Amount</t>
  </si>
  <si>
    <t>Source URL</t>
  </si>
  <si>
    <t>Estimate Payoff Date</t>
  </si>
  <si>
    <t>Estimated Payoff Amount</t>
  </si>
  <si>
    <t>Outstanding Balance at Prepayment</t>
  </si>
  <si>
    <t>Discount Rate (Monthly)</t>
  </si>
  <si>
    <t>v2.3</t>
  </si>
  <si>
    <t>Added Prepayment Analysis module</t>
  </si>
  <si>
    <t>Yield Maintenance prepayment method</t>
  </si>
  <si>
    <t>% of Balance prepayment method</t>
  </si>
  <si>
    <t>Benchmark assumptions for Yield Maintenance calculation</t>
  </si>
  <si>
    <t>Lender CF tracking for Yield Maintenance calculation</t>
  </si>
  <si>
    <t>Lender Cash Flow (Remaining CF Due after Prepayment)</t>
  </si>
  <si>
    <t>Minor updates to placeholder inputs</t>
  </si>
  <si>
    <t>Fixed</t>
  </si>
  <si>
    <t>Benchmark:</t>
  </si>
  <si>
    <t>VARIABLE INTEREST RATE</t>
  </si>
  <si>
    <t>Date</t>
  </si>
  <si>
    <t>SOFR</t>
  </si>
  <si>
    <t>Interest Calculation Method</t>
  </si>
  <si>
    <t>v2.4</t>
  </si>
  <si>
    <t>Loan Terms tab: under 'Interest Rate' renamed 'Type' to Interest Calculation Method</t>
  </si>
  <si>
    <t>Amortization Tab: Created Variable Interest Rate section to track the periodic rate of variable rate loan</t>
  </si>
  <si>
    <t>Amortization Tab: Added input in cell U3 for Benchmark type (e.g. SOFR) and forward curve for benchmark rate (column T)</t>
  </si>
  <si>
    <t>Loan Terms tab: Added Variable Interest Rate module</t>
  </si>
  <si>
    <t>New input on Loan Terms tab: Fixed vs Floating in cell C13</t>
  </si>
  <si>
    <t>Reorganized Interest Rate section</t>
  </si>
  <si>
    <t>Added conditional formatting to hide unnecessary rows on Loan Terms tab when Floating is selected</t>
  </si>
  <si>
    <t>Loan Payment (Month 1)</t>
  </si>
  <si>
    <t>Amortizing Payment</t>
  </si>
  <si>
    <t>Interest-Only Payment</t>
  </si>
  <si>
    <t>Renamed 'Loan Payment' to 'Loan Payment (Month 1)' to clarify that the loan payment may change over the term</t>
  </si>
  <si>
    <t>Pro Forma tab: Added two additional sections for historicals (e.g. T12, previous year, two years ago)</t>
  </si>
  <si>
    <t>Updates to placeholder values</t>
  </si>
  <si>
    <t>v2.5</t>
  </si>
  <si>
    <t>Fixed link to 'Other Debt Models' on the Version tab</t>
  </si>
  <si>
    <t>Fixed Max Loan calculation under 'DSCR Amort. Test' (Loan Terms E33); had been assuming annual payments, instead of monthly payments</t>
  </si>
  <si>
    <t>Include?</t>
  </si>
  <si>
    <t>Added a heading to cell G32 of the Loan Terms tab ('Included') to help users understand 'Yes/No' values</t>
  </si>
  <si>
    <t>Updated 'Maximum Loan Amount' formula in H37 on the Loan Terms tab to make the formula dynamic to included tests (F33:G36)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</si>
</sst>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_);\(&quot;$&quot;#,##0\)"/>
    <numFmt numFmtId="6" formatCode="&quot;$&quot;#,##0_);[Red]\(&quot;$&quot;#,##0\)"/>
    <numFmt numFmtId="8" formatCode="&quot;$&quot;#,##0.00_);[Red]\(&quot;$&quot;#,##0.00\)"/>
    <numFmt numFmtId="41" formatCode="_(* #,##0_);_(* \(#,##0\);_(* &quot;-&quot;_);_(@_)"/>
    <numFmt numFmtId="43" formatCode="_(* #,##0.00_);_(* \(#,##0.00\);_(* &quot;-&quot;??_);_(@_)"/>
    <numFmt numFmtId="164" formatCode="0.0%"/>
    <numFmt numFmtId="165" formatCode="_(* #,##0_);_(* \(#,##0\);_(* &quot;-&quot;??_);_(@_)"/>
    <numFmt numFmtId="166" formatCode="0.00&quot;X&quot;"/>
    <numFmt numFmtId="167" formatCode="0.0\ &quot;Years&quot;"/>
    <numFmt numFmtId="168" formatCode="0&quot;bps&quot;"/>
    <numFmt numFmtId="169" formatCode="&quot;Year&quot;\ 0"/>
    <numFmt numFmtId="170" formatCode="0\ &quot;years&quot;"/>
    <numFmt numFmtId="171" formatCode="&quot;$&quot;#,##0"/>
    <numFmt numFmtId="172" formatCode="mm/dd/yy"/>
    <numFmt numFmtId="173" formatCode="#,###\ &quot;SF&quot;"/>
    <numFmt numFmtId="174" formatCode="0&quot;bps/yr&quot;"/>
    <numFmt numFmtId="175" formatCode="&quot;Month&quot;\ 0"/>
    <numFmt numFmtId="176" formatCode="mm/dd/yyyy"/>
    <numFmt numFmtId="177" formatCode="0.00\ &quot;yrs&quot;"/>
    <numFmt numFmtId="178" formatCode="0\ &quot;months&quot;"/>
    <numFmt numFmtId="179" formatCode="0\ &quot;Months&quot;"/>
    <numFmt numFmtId="180" formatCode="0.000%"/>
    <numFmt numFmtId="181" formatCode="0\ &quot;bps&quot;"/>
  </numFmts>
  <fonts count="56" x14ac:knownFonts="1">
    <font>
      <sz val="11"/>
      <color theme="1"/>
      <name val="Century Gothic"/>
      <family val="2"/>
      <scheme val="minor"/>
    </font>
    <font>
      <sz val="11"/>
      <color theme="1"/>
      <name val="Bahnschrift"/>
      <family val="2"/>
    </font>
    <font>
      <sz val="11"/>
      <color theme="0"/>
      <name val="Bahnschrift SemiBold"/>
      <family val="2"/>
    </font>
    <font>
      <sz val="11"/>
      <color theme="1"/>
      <name val="Bahnschrift SemiBold"/>
      <family val="2"/>
    </font>
    <font>
      <sz val="11"/>
      <color indexed="12"/>
      <name val="Bahnschrift SemiBold"/>
      <family val="2"/>
    </font>
    <font>
      <sz val="11"/>
      <color indexed="12"/>
      <name val="Bahnschrift"/>
      <family val="2"/>
    </font>
    <font>
      <u/>
      <sz val="11"/>
      <color theme="1"/>
      <name val="Bahnschrift"/>
      <family val="2"/>
    </font>
    <font>
      <u val="singleAccounting"/>
      <sz val="11"/>
      <color indexed="12"/>
      <name val="Bahnschrift"/>
      <family val="2"/>
    </font>
    <font>
      <sz val="11"/>
      <name val="Bahnschrift"/>
      <family val="2"/>
    </font>
    <font>
      <u val="singleAccounting"/>
      <sz val="11"/>
      <name val="Bahnschrift"/>
      <family val="2"/>
    </font>
    <font>
      <sz val="11"/>
      <color indexed="17"/>
      <name val="Bahnschrift"/>
      <family val="2"/>
    </font>
    <font>
      <sz val="14"/>
      <color theme="0"/>
      <name val="Bahnschrift SemiBold"/>
      <family val="2"/>
    </font>
    <font>
      <sz val="10"/>
      <color theme="1"/>
      <name val="Bahnschrift"/>
      <family val="2"/>
    </font>
    <font>
      <sz val="11"/>
      <name val="Bahnschrift SemiBold"/>
      <family val="2"/>
    </font>
    <font>
      <i/>
      <sz val="10"/>
      <color indexed="12"/>
      <name val="Bahnschrift"/>
      <family val="2"/>
    </font>
    <font>
      <sz val="10"/>
      <color indexed="12"/>
      <name val="Bahnschrift"/>
      <family val="2"/>
    </font>
    <font>
      <u val="singleAccounting"/>
      <sz val="10"/>
      <color indexed="12"/>
      <name val="Bahnschrift"/>
      <family val="2"/>
    </font>
    <font>
      <sz val="10"/>
      <name val="Bahnschrift"/>
      <family val="2"/>
    </font>
    <font>
      <b/>
      <sz val="11"/>
      <color theme="1"/>
      <name val="Bahnschrift"/>
      <family val="2"/>
    </font>
    <font>
      <sz val="10"/>
      <color theme="0"/>
      <name val="Bahnschrift SemiBold"/>
      <family val="2"/>
    </font>
    <font>
      <sz val="10"/>
      <name val="Bahnschrift SemiBold"/>
      <family val="2"/>
    </font>
    <font>
      <u val="singleAccounting"/>
      <sz val="10"/>
      <color theme="1"/>
      <name val="Bahnschrift"/>
      <family val="2"/>
    </font>
    <font>
      <b/>
      <sz val="10"/>
      <color theme="1"/>
      <name val="Bahnschrift"/>
      <family val="2"/>
    </font>
    <font>
      <u/>
      <sz val="10"/>
      <color theme="1"/>
      <name val="Bahnschrift"/>
      <family val="2"/>
    </font>
    <font>
      <sz val="11"/>
      <color indexed="12"/>
      <name val="Century Gothic"/>
      <family val="2"/>
      <scheme val="minor"/>
    </font>
    <font>
      <u val="singleAccounting"/>
      <sz val="11"/>
      <color indexed="17"/>
      <name val="Bahnschrift"/>
      <family val="2"/>
    </font>
    <font>
      <sz val="11"/>
      <color theme="1"/>
      <name val="Century Gothic"/>
      <family val="2"/>
      <scheme val="minor"/>
    </font>
    <font>
      <sz val="10"/>
      <color indexed="12"/>
      <name val="Century Gothic"/>
      <family val="2"/>
      <scheme val="minor"/>
    </font>
    <font>
      <u/>
      <sz val="11"/>
      <color theme="10"/>
      <name val="Century Gothic"/>
      <family val="2"/>
      <scheme val="minor"/>
    </font>
    <font>
      <i/>
      <sz val="9"/>
      <color theme="1"/>
      <name val="Century Gothic"/>
      <family val="2"/>
      <scheme val="minor"/>
    </font>
    <font>
      <sz val="11"/>
      <name val="Century Gothic"/>
      <family val="2"/>
      <scheme val="minor"/>
    </font>
    <font>
      <i/>
      <sz val="12"/>
      <color rgb="FF008000"/>
      <name val="Century Gothic"/>
      <family val="2"/>
      <scheme val="minor"/>
    </font>
    <font>
      <i/>
      <sz val="12"/>
      <color indexed="17"/>
      <name val="Century Gothic"/>
      <family val="2"/>
      <scheme val="minor"/>
    </font>
    <font>
      <sz val="12"/>
      <color indexed="17"/>
      <name val="Century Gothic"/>
      <family val="2"/>
      <scheme val="minor"/>
    </font>
    <font>
      <b/>
      <sz val="11"/>
      <name val="Bahnschrift"/>
      <family val="2"/>
    </font>
    <font>
      <u/>
      <sz val="11"/>
      <color indexed="12"/>
      <name val="Bahnschrift"/>
      <family val="2"/>
    </font>
    <font>
      <u/>
      <sz val="11"/>
      <name val="Bahnschrift"/>
      <family val="2"/>
    </font>
    <font>
      <sz val="11"/>
      <color theme="8"/>
      <name val="Bahnschrift"/>
      <family val="2"/>
    </font>
    <font>
      <u/>
      <sz val="11"/>
      <color theme="8"/>
      <name val="Bahnschrift"/>
      <family val="2"/>
    </font>
    <font>
      <b/>
      <sz val="11"/>
      <color theme="1"/>
      <name val="Century Gothic"/>
      <family val="2"/>
      <scheme val="minor"/>
    </font>
    <font>
      <sz val="11"/>
      <color theme="0"/>
      <name val="Century Gothic"/>
      <family val="2"/>
      <scheme val="minor"/>
    </font>
    <font>
      <sz val="10"/>
      <color theme="1"/>
      <name val="Century Gothic"/>
      <family val="2"/>
      <scheme val="minor"/>
    </font>
    <font>
      <b/>
      <u/>
      <sz val="10"/>
      <color theme="1"/>
      <name val="Century Gothic"/>
      <family val="2"/>
      <scheme val="minor"/>
    </font>
    <font>
      <sz val="9"/>
      <color theme="1"/>
      <name val="Century Gothic"/>
      <family val="2"/>
      <scheme val="minor"/>
    </font>
    <font>
      <sz val="9"/>
      <color theme="0"/>
      <name val="Century Gothic"/>
      <family val="2"/>
      <scheme val="minor"/>
    </font>
    <font>
      <sz val="12"/>
      <color theme="0"/>
      <name val="Century Gothic"/>
      <family val="2"/>
      <scheme val="minor"/>
    </font>
    <font>
      <i/>
      <sz val="10"/>
      <color theme="1"/>
      <name val="Bahnschrift"/>
      <family val="2"/>
    </font>
    <font>
      <sz val="11"/>
      <color rgb="FF000000"/>
      <name val="Bahnschrift"/>
      <family val="2"/>
    </font>
    <font>
      <sz val="11"/>
      <color rgb="FF0000FF"/>
      <name val="Bahnschrift"/>
      <family val="2"/>
    </font>
    <font>
      <u/>
      <sz val="11"/>
      <color rgb="FF000000"/>
      <name val="Bahnschrift"/>
      <family val="2"/>
    </font>
    <font>
      <sz val="11"/>
      <color rgb="FF0000FF"/>
      <name val="Bahnschrift SemiBold"/>
      <family val="2"/>
    </font>
    <font>
      <sz val="11"/>
      <color theme="0"/>
      <name val="Bahnschrift"/>
      <family val="2"/>
    </font>
    <font>
      <sz val="12"/>
      <color theme="0"/>
      <name val="Bahnschrift SemiBold"/>
      <family val="2"/>
    </font>
    <font>
      <u/>
      <sz val="11"/>
      <color rgb="FF0000FF"/>
      <name val="Century Gothic"/>
      <family val="2"/>
      <scheme val="minor"/>
    </font>
    <font>
      <u/>
      <sz val="11"/>
      <color rgb="FF0000FF"/>
      <name val="Bahnschrift"/>
      <family val="2"/>
    </font>
    <font>
      <b/>
      <u/>
      <sz val="12"/>
      <color rgb="FF0000FF"/>
      <name val="Century Gothic"/>
      <family val="2"/>
      <scheme val="minor"/>
    </font>
  </fonts>
  <fills count="9">
    <fill>
      <patternFill patternType="none"/>
    </fill>
    <fill>
      <patternFill patternType="gray125"/>
    </fill>
    <fill>
      <patternFill patternType="solid">
        <fgColor theme="3"/>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FFB606"/>
        <bgColor indexed="64"/>
      </patternFill>
    </fill>
    <fill>
      <patternFill patternType="solid">
        <fgColor theme="1" tint="0.34998626667073579"/>
        <bgColor indexed="64"/>
      </patternFill>
    </fill>
    <fill>
      <patternFill patternType="solid">
        <fgColor theme="0" tint="-0.499984740745262"/>
        <bgColor indexed="64"/>
      </patternFill>
    </fill>
  </fills>
  <borders count="12">
    <border>
      <left/>
      <right/>
      <top/>
      <bottom/>
      <diagonal/>
    </border>
    <border>
      <left style="hair">
        <color auto="1"/>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ashed">
        <color auto="1"/>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3">
    <xf numFmtId="0" fontId="0" fillId="0" borderId="0"/>
    <xf numFmtId="43" fontId="26" fillId="0" borderId="0" applyFont="0" applyFill="0" applyBorder="0" applyAlignment="0" applyProtection="0"/>
    <xf numFmtId="0" fontId="28" fillId="0" borderId="0" applyNumberFormat="0" applyFill="0" applyBorder="0" applyAlignment="0" applyProtection="0"/>
  </cellStyleXfs>
  <cellXfs count="233">
    <xf numFmtId="0" fontId="0" fillId="0" borderId="0" xfId="0"/>
    <xf numFmtId="0" fontId="1" fillId="0" borderId="0" xfId="0" applyFont="1"/>
    <xf numFmtId="0" fontId="2" fillId="2" borderId="0" xfId="0" applyFont="1" applyFill="1"/>
    <xf numFmtId="0" fontId="3" fillId="0" borderId="0" xfId="0" applyFont="1"/>
    <xf numFmtId="0" fontId="2" fillId="2" borderId="0" xfId="0" applyFont="1" applyFill="1" applyAlignment="1">
      <alignment horizontal="right"/>
    </xf>
    <xf numFmtId="0" fontId="4" fillId="2" borderId="0" xfId="0" applyFont="1" applyFill="1" applyAlignment="1">
      <alignment horizontal="right"/>
    </xf>
    <xf numFmtId="0" fontId="1" fillId="3" borderId="0" xfId="0" applyFont="1" applyFill="1"/>
    <xf numFmtId="0" fontId="1" fillId="0" borderId="0" xfId="0" applyFont="1" applyAlignment="1">
      <alignment horizontal="right"/>
    </xf>
    <xf numFmtId="0" fontId="1" fillId="3" borderId="0" xfId="0" applyFont="1" applyFill="1" applyAlignment="1">
      <alignment horizontal="right"/>
    </xf>
    <xf numFmtId="0" fontId="5" fillId="0" borderId="0" xfId="0" applyFont="1" applyAlignment="1">
      <alignment horizontal="right"/>
    </xf>
    <xf numFmtId="3" fontId="5" fillId="0" borderId="0" xfId="0" applyNumberFormat="1" applyFont="1" applyAlignment="1">
      <alignment horizontal="right"/>
    </xf>
    <xf numFmtId="0" fontId="6" fillId="0" borderId="0" xfId="0" applyFont="1" applyAlignment="1">
      <alignment horizontal="right"/>
    </xf>
    <xf numFmtId="41" fontId="1" fillId="0" borderId="0" xfId="0" applyNumberFormat="1" applyFont="1" applyAlignment="1">
      <alignment horizontal="right"/>
    </xf>
    <xf numFmtId="41" fontId="5" fillId="0" borderId="0" xfId="0" applyNumberFormat="1" applyFont="1" applyAlignment="1">
      <alignment horizontal="right"/>
    </xf>
    <xf numFmtId="41" fontId="1" fillId="0" borderId="0" xfId="0" applyNumberFormat="1" applyFont="1"/>
    <xf numFmtId="43" fontId="1" fillId="0" borderId="0" xfId="0" applyNumberFormat="1" applyFont="1"/>
    <xf numFmtId="164" fontId="1" fillId="0" borderId="0" xfId="0" applyNumberFormat="1" applyFont="1"/>
    <xf numFmtId="41" fontId="7" fillId="0" borderId="0" xfId="0" applyNumberFormat="1" applyFont="1" applyAlignment="1">
      <alignment horizontal="right"/>
    </xf>
    <xf numFmtId="0" fontId="5" fillId="0" borderId="0" xfId="0" applyFont="1"/>
    <xf numFmtId="41" fontId="9" fillId="0" borderId="0" xfId="0" applyNumberFormat="1" applyFont="1" applyAlignment="1">
      <alignment horizontal="right"/>
    </xf>
    <xf numFmtId="41" fontId="10" fillId="0" borderId="0" xfId="0" applyNumberFormat="1" applyFont="1" applyAlignment="1">
      <alignment horizontal="right"/>
    </xf>
    <xf numFmtId="0" fontId="11" fillId="2" borderId="0" xfId="0" applyFont="1" applyFill="1"/>
    <xf numFmtId="0" fontId="5" fillId="0" borderId="0" xfId="0" quotePrefix="1" applyFont="1"/>
    <xf numFmtId="0" fontId="1" fillId="0" borderId="0" xfId="0" applyFont="1" applyAlignment="1">
      <alignment horizontal="left" indent="1"/>
    </xf>
    <xf numFmtId="41" fontId="5" fillId="0" borderId="0" xfId="0" applyNumberFormat="1" applyFont="1"/>
    <xf numFmtId="41" fontId="7" fillId="0" borderId="0" xfId="0" applyNumberFormat="1" applyFont="1"/>
    <xf numFmtId="3" fontId="1" fillId="0" borderId="0" xfId="0" applyNumberFormat="1" applyFont="1"/>
    <xf numFmtId="10" fontId="1" fillId="0" borderId="0" xfId="0" applyNumberFormat="1" applyFont="1"/>
    <xf numFmtId="9" fontId="5" fillId="0" borderId="0" xfId="0" applyNumberFormat="1" applyFont="1"/>
    <xf numFmtId="10" fontId="5" fillId="0" borderId="0" xfId="0" applyNumberFormat="1" applyFont="1"/>
    <xf numFmtId="165" fontId="8" fillId="0" borderId="0" xfId="0" applyNumberFormat="1" applyFont="1"/>
    <xf numFmtId="41" fontId="6" fillId="0" borderId="0" xfId="0" applyNumberFormat="1" applyFont="1"/>
    <xf numFmtId="0" fontId="12" fillId="3" borderId="0" xfId="0" quotePrefix="1" applyFont="1" applyFill="1" applyAlignment="1">
      <alignment horizontal="right"/>
    </xf>
    <xf numFmtId="0" fontId="12" fillId="3" borderId="0" xfId="0" applyFont="1" applyFill="1" applyAlignment="1">
      <alignment horizontal="right"/>
    </xf>
    <xf numFmtId="0" fontId="2" fillId="3" borderId="0" xfId="0" applyFont="1" applyFill="1"/>
    <xf numFmtId="0" fontId="2" fillId="3" borderId="0" xfId="0" applyFont="1" applyFill="1" applyAlignment="1">
      <alignment horizontal="right"/>
    </xf>
    <xf numFmtId="0" fontId="13" fillId="3" borderId="0" xfId="0" applyFont="1" applyFill="1" applyAlignment="1">
      <alignment horizontal="right"/>
    </xf>
    <xf numFmtId="0" fontId="13" fillId="3" borderId="1" xfId="0" applyFont="1" applyFill="1" applyBorder="1" applyAlignment="1">
      <alignment horizontal="left"/>
    </xf>
    <xf numFmtId="0" fontId="13" fillId="3" borderId="0" xfId="0" applyFont="1" applyFill="1"/>
    <xf numFmtId="0" fontId="4" fillId="2" borderId="0" xfId="0" applyFont="1" applyFill="1"/>
    <xf numFmtId="41" fontId="14" fillId="0" borderId="1" xfId="0" applyNumberFormat="1" applyFont="1" applyBorder="1" applyAlignment="1">
      <alignment horizontal="left"/>
    </xf>
    <xf numFmtId="41" fontId="15" fillId="0" borderId="0" xfId="0" applyNumberFormat="1" applyFont="1" applyAlignment="1">
      <alignment horizontal="left"/>
    </xf>
    <xf numFmtId="0" fontId="12" fillId="0" borderId="0" xfId="0" applyFont="1" applyAlignment="1">
      <alignment horizontal="left"/>
    </xf>
    <xf numFmtId="41" fontId="16" fillId="0" borderId="0" xfId="0" applyNumberFormat="1" applyFont="1" applyAlignment="1">
      <alignment horizontal="left"/>
    </xf>
    <xf numFmtId="41" fontId="12" fillId="0" borderId="0" xfId="0" applyNumberFormat="1" applyFont="1" applyAlignment="1">
      <alignment horizontal="left"/>
    </xf>
    <xf numFmtId="43" fontId="14" fillId="0" borderId="1" xfId="0" applyNumberFormat="1" applyFont="1" applyBorder="1" applyAlignment="1">
      <alignment horizontal="left"/>
    </xf>
    <xf numFmtId="165" fontId="14" fillId="0" borderId="1" xfId="0" applyNumberFormat="1" applyFont="1" applyBorder="1" applyAlignment="1">
      <alignment horizontal="left"/>
    </xf>
    <xf numFmtId="165" fontId="17" fillId="0" borderId="0" xfId="0" applyNumberFormat="1" applyFont="1" applyAlignment="1">
      <alignment horizontal="left"/>
    </xf>
    <xf numFmtId="0" fontId="18" fillId="0" borderId="0" xfId="0" applyFont="1"/>
    <xf numFmtId="41" fontId="18" fillId="0" borderId="0" xfId="0" applyNumberFormat="1" applyFont="1"/>
    <xf numFmtId="0" fontId="12" fillId="0" borderId="0" xfId="0" applyFont="1"/>
    <xf numFmtId="0" fontId="19" fillId="2" borderId="0" xfId="0" applyFont="1" applyFill="1"/>
    <xf numFmtId="0" fontId="19" fillId="2" borderId="0" xfId="0" applyFont="1" applyFill="1" applyAlignment="1">
      <alignment horizontal="right"/>
    </xf>
    <xf numFmtId="0" fontId="19" fillId="3" borderId="0" xfId="0" applyFont="1" applyFill="1"/>
    <xf numFmtId="0" fontId="20" fillId="3" borderId="0" xfId="0" applyFont="1" applyFill="1" applyAlignment="1">
      <alignment horizontal="right"/>
    </xf>
    <xf numFmtId="41" fontId="12" fillId="0" borderId="0" xfId="0" applyNumberFormat="1" applyFont="1"/>
    <xf numFmtId="164" fontId="12" fillId="0" borderId="0" xfId="0" applyNumberFormat="1" applyFont="1"/>
    <xf numFmtId="41" fontId="21" fillId="0" borderId="0" xfId="0" applyNumberFormat="1" applyFont="1"/>
    <xf numFmtId="10" fontId="12" fillId="0" borderId="0" xfId="0" applyNumberFormat="1" applyFont="1"/>
    <xf numFmtId="10" fontId="15" fillId="0" borderId="0" xfId="0" applyNumberFormat="1" applyFont="1"/>
    <xf numFmtId="0" fontId="22" fillId="0" borderId="0" xfId="0" applyFont="1"/>
    <xf numFmtId="41" fontId="22" fillId="0" borderId="0" xfId="0" applyNumberFormat="1" applyFont="1"/>
    <xf numFmtId="0" fontId="23" fillId="0" borderId="0" xfId="0" quotePrefix="1" applyFont="1" applyAlignment="1">
      <alignment horizontal="right"/>
    </xf>
    <xf numFmtId="0" fontId="0" fillId="3" borderId="0" xfId="0" applyFill="1"/>
    <xf numFmtId="0" fontId="0" fillId="0" borderId="2" xfId="0" applyBorder="1"/>
    <xf numFmtId="0" fontId="24" fillId="0" borderId="0" xfId="0" applyFont="1"/>
    <xf numFmtId="0" fontId="0" fillId="3" borderId="0" xfId="0" applyFill="1" applyAlignment="1">
      <alignment horizontal="right"/>
    </xf>
    <xf numFmtId="0" fontId="0" fillId="0" borderId="0" xfId="0" applyAlignment="1">
      <alignment horizontal="right"/>
    </xf>
    <xf numFmtId="0" fontId="0" fillId="0" borderId="2" xfId="0" applyBorder="1" applyAlignment="1">
      <alignment horizontal="right"/>
    </xf>
    <xf numFmtId="0" fontId="24" fillId="0" borderId="0" xfId="0" applyFont="1" applyAlignment="1">
      <alignment horizontal="right"/>
    </xf>
    <xf numFmtId="0" fontId="0" fillId="3" borderId="0" xfId="0" applyFill="1" applyAlignment="1">
      <alignment horizontal="left"/>
    </xf>
    <xf numFmtId="41" fontId="14" fillId="0" borderId="0" xfId="0" applyNumberFormat="1" applyFont="1" applyAlignment="1">
      <alignment horizontal="left"/>
    </xf>
    <xf numFmtId="0" fontId="8" fillId="0" borderId="0" xfId="0" applyFont="1" applyAlignment="1">
      <alignment horizontal="left" indent="1"/>
    </xf>
    <xf numFmtId="0" fontId="5" fillId="0" borderId="0" xfId="0" applyFont="1" applyAlignment="1">
      <alignment horizontal="left" indent="1"/>
    </xf>
    <xf numFmtId="166" fontId="1" fillId="0" borderId="0" xfId="0" applyNumberFormat="1" applyFont="1"/>
    <xf numFmtId="166" fontId="5" fillId="0" borderId="0" xfId="0" applyNumberFormat="1" applyFont="1"/>
    <xf numFmtId="167" fontId="5" fillId="0" borderId="0" xfId="0" applyNumberFormat="1" applyFont="1"/>
    <xf numFmtId="168" fontId="5" fillId="0" borderId="0" xfId="0" applyNumberFormat="1" applyFont="1"/>
    <xf numFmtId="0" fontId="1" fillId="0" borderId="3" xfId="0" applyFont="1" applyBorder="1"/>
    <xf numFmtId="0" fontId="1" fillId="0" borderId="4" xfId="0" applyFont="1" applyBorder="1"/>
    <xf numFmtId="3" fontId="1" fillId="0" borderId="4" xfId="0" applyNumberFormat="1" applyFont="1" applyBorder="1"/>
    <xf numFmtId="10" fontId="10" fillId="0" borderId="0" xfId="0" applyNumberFormat="1" applyFont="1" applyAlignment="1">
      <alignment horizontal="right"/>
    </xf>
    <xf numFmtId="3" fontId="10" fillId="0" borderId="0" xfId="0" applyNumberFormat="1" applyFont="1" applyAlignment="1">
      <alignment horizontal="right"/>
    </xf>
    <xf numFmtId="167" fontId="10" fillId="0" borderId="0" xfId="0" applyNumberFormat="1" applyFont="1" applyAlignment="1">
      <alignment horizontal="right"/>
    </xf>
    <xf numFmtId="166" fontId="10" fillId="0" borderId="0" xfId="0" applyNumberFormat="1" applyFont="1" applyAlignment="1">
      <alignment horizontal="right"/>
    </xf>
    <xf numFmtId="164" fontId="10" fillId="0" borderId="0" xfId="0" applyNumberFormat="1" applyFont="1" applyAlignment="1">
      <alignment horizontal="right"/>
    </xf>
    <xf numFmtId="41" fontId="8" fillId="0" borderId="0" xfId="0" applyNumberFormat="1" applyFont="1" applyAlignment="1">
      <alignment horizontal="right"/>
    </xf>
    <xf numFmtId="41" fontId="25" fillId="0" borderId="0" xfId="0" applyNumberFormat="1" applyFont="1" applyAlignment="1">
      <alignment horizontal="right"/>
    </xf>
    <xf numFmtId="0" fontId="6" fillId="0" borderId="0" xfId="0" applyFont="1"/>
    <xf numFmtId="41" fontId="5" fillId="0" borderId="5" xfId="0" applyNumberFormat="1" applyFont="1" applyBorder="1"/>
    <xf numFmtId="0" fontId="0" fillId="0" borderId="0" xfId="0" applyAlignment="1">
      <alignment horizontal="center"/>
    </xf>
    <xf numFmtId="0" fontId="31" fillId="4" borderId="0" xfId="0" applyFont="1" applyFill="1" applyAlignment="1" applyProtection="1">
      <alignment horizontal="center"/>
      <protection locked="0"/>
    </xf>
    <xf numFmtId="171" fontId="27" fillId="4" borderId="0" xfId="1" applyNumberFormat="1" applyFont="1" applyFill="1" applyBorder="1" applyAlignment="1" applyProtection="1">
      <alignment horizontal="center"/>
    </xf>
    <xf numFmtId="43" fontId="32" fillId="4" borderId="0" xfId="1" applyFont="1" applyFill="1" applyBorder="1" applyAlignment="1" applyProtection="1">
      <alignment horizontal="center"/>
    </xf>
    <xf numFmtId="172" fontId="33" fillId="4" borderId="0" xfId="0" applyNumberFormat="1" applyFont="1" applyFill="1" applyAlignment="1">
      <alignment horizontal="center"/>
    </xf>
    <xf numFmtId="0" fontId="32" fillId="4" borderId="0" xfId="0" applyFont="1" applyFill="1" applyAlignment="1">
      <alignment horizontal="center"/>
    </xf>
    <xf numFmtId="173" fontId="32" fillId="4" borderId="0" xfId="0" applyNumberFormat="1" applyFont="1" applyFill="1" applyAlignment="1">
      <alignment horizontal="center"/>
    </xf>
    <xf numFmtId="0" fontId="34" fillId="3" borderId="0" xfId="0" applyFont="1" applyFill="1" applyAlignment="1">
      <alignment horizontal="right"/>
    </xf>
    <xf numFmtId="0" fontId="1" fillId="0" borderId="0" xfId="0" applyFont="1" applyAlignment="1">
      <alignment horizontal="left" indent="2"/>
    </xf>
    <xf numFmtId="0" fontId="1" fillId="0" borderId="6" xfId="0" applyFont="1" applyBorder="1" applyAlignment="1">
      <alignment horizontal="left" indent="2"/>
    </xf>
    <xf numFmtId="169" fontId="34" fillId="3" borderId="0" xfId="0" applyNumberFormat="1" applyFont="1" applyFill="1" applyAlignment="1">
      <alignment horizontal="right"/>
    </xf>
    <xf numFmtId="10" fontId="8" fillId="0" borderId="0" xfId="0" applyNumberFormat="1" applyFont="1" applyAlignment="1">
      <alignment horizontal="right"/>
    </xf>
    <xf numFmtId="37" fontId="1" fillId="0" borderId="0" xfId="0" applyNumberFormat="1" applyFont="1" applyAlignment="1">
      <alignment horizontal="right"/>
    </xf>
    <xf numFmtId="10" fontId="35" fillId="0" borderId="0" xfId="0" applyNumberFormat="1" applyFont="1" applyAlignment="1">
      <alignment horizontal="right"/>
    </xf>
    <xf numFmtId="0" fontId="1" fillId="0" borderId="6" xfId="0" applyFont="1" applyBorder="1" applyAlignment="1">
      <alignment horizontal="right"/>
    </xf>
    <xf numFmtId="10" fontId="1" fillId="0" borderId="6" xfId="0" applyNumberFormat="1" applyFont="1" applyBorder="1" applyAlignment="1">
      <alignment horizontal="right"/>
    </xf>
    <xf numFmtId="37" fontId="0" fillId="0" borderId="0" xfId="0" applyNumberFormat="1" applyAlignment="1">
      <alignment horizontal="right"/>
    </xf>
    <xf numFmtId="41" fontId="36" fillId="0" borderId="0" xfId="0" applyNumberFormat="1" applyFont="1" applyAlignment="1">
      <alignment horizontal="right"/>
    </xf>
    <xf numFmtId="10" fontId="37" fillId="0" borderId="0" xfId="0" applyNumberFormat="1" applyFont="1" applyAlignment="1">
      <alignment horizontal="right"/>
    </xf>
    <xf numFmtId="10" fontId="38" fillId="0" borderId="0" xfId="0" applyNumberFormat="1" applyFont="1" applyAlignment="1">
      <alignment horizontal="right"/>
    </xf>
    <xf numFmtId="0" fontId="41" fillId="0" borderId="0" xfId="0" applyFont="1"/>
    <xf numFmtId="0" fontId="41" fillId="0" borderId="0" xfId="0" applyFont="1" applyAlignment="1">
      <alignment horizontal="left" indent="1"/>
    </xf>
    <xf numFmtId="0" fontId="42" fillId="0" borderId="0" xfId="0" applyFont="1" applyAlignment="1">
      <alignment horizontal="left"/>
    </xf>
    <xf numFmtId="0" fontId="42" fillId="0" borderId="0" xfId="0" applyFont="1"/>
    <xf numFmtId="0" fontId="41" fillId="0" borderId="0" xfId="0" applyFont="1" applyAlignment="1">
      <alignment horizontal="left" indent="2"/>
    </xf>
    <xf numFmtId="0" fontId="41" fillId="5" borderId="0" xfId="0" applyFont="1" applyFill="1"/>
    <xf numFmtId="0" fontId="0" fillId="5" borderId="0" xfId="0" applyFill="1"/>
    <xf numFmtId="0" fontId="0" fillId="0" borderId="0" xfId="0" applyAlignment="1">
      <alignment horizontal="left" indent="1"/>
    </xf>
    <xf numFmtId="0" fontId="39" fillId="0" borderId="0" xfId="0" applyFont="1"/>
    <xf numFmtId="0" fontId="41" fillId="5" borderId="0" xfId="0" applyFont="1" applyFill="1" applyAlignment="1">
      <alignment horizontal="right"/>
    </xf>
    <xf numFmtId="0" fontId="40" fillId="7" borderId="0" xfId="0" applyFont="1" applyFill="1"/>
    <xf numFmtId="0" fontId="44" fillId="7" borderId="0" xfId="0" applyFont="1" applyFill="1" applyAlignment="1">
      <alignment horizontal="right"/>
    </xf>
    <xf numFmtId="0" fontId="45" fillId="7" borderId="0" xfId="0" applyFont="1" applyFill="1"/>
    <xf numFmtId="0" fontId="41" fillId="0" borderId="0" xfId="0" quotePrefix="1" applyFont="1" applyAlignment="1">
      <alignment horizontal="left" indent="1"/>
    </xf>
    <xf numFmtId="176" fontId="5" fillId="0" borderId="0" xfId="0" applyNumberFormat="1" applyFont="1"/>
    <xf numFmtId="0" fontId="6" fillId="0" borderId="0" xfId="0" applyFont="1" applyAlignment="1">
      <alignment horizontal="left"/>
    </xf>
    <xf numFmtId="175" fontId="1" fillId="0" borderId="0" xfId="0" applyNumberFormat="1" applyFont="1" applyAlignment="1">
      <alignment horizontal="right"/>
    </xf>
    <xf numFmtId="14" fontId="10" fillId="0" borderId="0" xfId="0" applyNumberFormat="1" applyFont="1" applyAlignment="1">
      <alignment horizontal="right"/>
    </xf>
    <xf numFmtId="3" fontId="1" fillId="0" borderId="0" xfId="0" applyNumberFormat="1" applyFont="1" applyAlignment="1">
      <alignment horizontal="right"/>
    </xf>
    <xf numFmtId="14" fontId="8" fillId="0" borderId="0" xfId="0" applyNumberFormat="1" applyFont="1" applyAlignment="1">
      <alignment horizontal="right"/>
    </xf>
    <xf numFmtId="165" fontId="1" fillId="0" borderId="0" xfId="0" applyNumberFormat="1" applyFont="1" applyAlignment="1">
      <alignment horizontal="right"/>
    </xf>
    <xf numFmtId="0" fontId="41" fillId="0" borderId="0" xfId="0" quotePrefix="1" applyFont="1" applyAlignment="1">
      <alignment horizontal="left" indent="2"/>
    </xf>
    <xf numFmtId="0" fontId="8" fillId="0" borderId="2" xfId="0" applyFont="1" applyBorder="1" applyAlignment="1">
      <alignment horizontal="right"/>
    </xf>
    <xf numFmtId="15" fontId="10" fillId="0" borderId="2" xfId="0" applyNumberFormat="1" applyFont="1" applyBorder="1" applyAlignment="1">
      <alignment horizontal="right"/>
    </xf>
    <xf numFmtId="15" fontId="8" fillId="0" borderId="2" xfId="0" applyNumberFormat="1" applyFont="1" applyBorder="1" applyAlignment="1">
      <alignment horizontal="right"/>
    </xf>
    <xf numFmtId="173" fontId="32" fillId="0" borderId="0" xfId="0" applyNumberFormat="1" applyFont="1" applyAlignment="1">
      <alignment horizontal="center"/>
    </xf>
    <xf numFmtId="0" fontId="32" fillId="0" borderId="0" xfId="0" applyFont="1" applyAlignment="1">
      <alignment horizontal="center"/>
    </xf>
    <xf numFmtId="172" fontId="33" fillId="0" borderId="0" xfId="0" applyNumberFormat="1" applyFont="1" applyAlignment="1">
      <alignment horizontal="center"/>
    </xf>
    <xf numFmtId="43" fontId="32" fillId="0" borderId="0" xfId="1" applyFont="1" applyFill="1" applyBorder="1" applyAlignment="1" applyProtection="1">
      <alignment horizontal="center"/>
    </xf>
    <xf numFmtId="171" fontId="27" fillId="0" borderId="0" xfId="1" applyNumberFormat="1" applyFont="1" applyFill="1" applyBorder="1" applyAlignment="1" applyProtection="1">
      <alignment horizontal="center"/>
    </xf>
    <xf numFmtId="0" fontId="31" fillId="0" borderId="0" xfId="0" applyFont="1" applyAlignment="1" applyProtection="1">
      <alignment horizontal="center"/>
      <protection locked="0"/>
    </xf>
    <xf numFmtId="10" fontId="5" fillId="0" borderId="0" xfId="0" applyNumberFormat="1" applyFont="1" applyAlignment="1">
      <alignment horizontal="right"/>
    </xf>
    <xf numFmtId="41" fontId="37" fillId="0" borderId="0" xfId="0" applyNumberFormat="1" applyFont="1" applyAlignment="1">
      <alignment horizontal="right"/>
    </xf>
    <xf numFmtId="0" fontId="8" fillId="0" borderId="0" xfId="0" quotePrefix="1" applyFont="1" applyAlignment="1">
      <alignment horizontal="left" indent="2"/>
    </xf>
    <xf numFmtId="0" fontId="8" fillId="0" borderId="0" xfId="0" applyFont="1" applyAlignment="1">
      <alignment horizontal="right" indent="1"/>
    </xf>
    <xf numFmtId="41" fontId="38" fillId="0" borderId="0" xfId="0" applyNumberFormat="1" applyFont="1" applyAlignment="1">
      <alignment horizontal="right"/>
    </xf>
    <xf numFmtId="15" fontId="30" fillId="0" borderId="0" xfId="0" applyNumberFormat="1" applyFont="1" applyAlignment="1">
      <alignment horizontal="center"/>
    </xf>
    <xf numFmtId="0" fontId="18" fillId="0" borderId="6" xfId="0" applyFont="1" applyBorder="1"/>
    <xf numFmtId="0" fontId="8" fillId="0" borderId="6" xfId="0" applyFont="1" applyBorder="1" applyAlignment="1">
      <alignment horizontal="right" indent="1"/>
    </xf>
    <xf numFmtId="41" fontId="8" fillId="0" borderId="6" xfId="0" applyNumberFormat="1" applyFont="1" applyBorder="1" applyAlignment="1">
      <alignment horizontal="right"/>
    </xf>
    <xf numFmtId="0" fontId="8" fillId="0" borderId="0" xfId="0" applyFont="1"/>
    <xf numFmtId="0" fontId="8" fillId="0" borderId="0" xfId="0" applyFont="1" applyAlignment="1">
      <alignment horizontal="right"/>
    </xf>
    <xf numFmtId="39" fontId="1" fillId="0" borderId="0" xfId="0" applyNumberFormat="1" applyFont="1" applyAlignment="1">
      <alignment horizontal="right"/>
    </xf>
    <xf numFmtId="174" fontId="5" fillId="0" borderId="0" xfId="0" applyNumberFormat="1" applyFont="1" applyAlignment="1">
      <alignment horizontal="right"/>
    </xf>
    <xf numFmtId="6" fontId="5" fillId="0" borderId="0" xfId="0" applyNumberFormat="1" applyFont="1" applyAlignment="1">
      <alignment horizontal="right"/>
    </xf>
    <xf numFmtId="0" fontId="1" fillId="0" borderId="0" xfId="0" quotePrefix="1" applyFont="1" applyAlignment="1">
      <alignment horizontal="left" indent="2"/>
    </xf>
    <xf numFmtId="5" fontId="35" fillId="0" borderId="0" xfId="0" applyNumberFormat="1" applyFont="1" applyAlignment="1">
      <alignment horizontal="right"/>
    </xf>
    <xf numFmtId="0" fontId="1" fillId="0" borderId="6" xfId="0" applyFont="1" applyBorder="1" applyAlignment="1">
      <alignment horizontal="left" indent="1"/>
    </xf>
    <xf numFmtId="6" fontId="1" fillId="0" borderId="6" xfId="0" applyNumberFormat="1" applyFont="1" applyBorder="1" applyAlignment="1">
      <alignment horizontal="right"/>
    </xf>
    <xf numFmtId="41" fontId="1" fillId="0" borderId="6" xfId="0" applyNumberFormat="1" applyFont="1" applyBorder="1" applyAlignment="1">
      <alignment horizontal="right"/>
    </xf>
    <xf numFmtId="6" fontId="1" fillId="0" borderId="0" xfId="0" applyNumberFormat="1" applyFont="1" applyAlignment="1">
      <alignment horizontal="right"/>
    </xf>
    <xf numFmtId="166" fontId="8" fillId="0" borderId="0" xfId="0" applyNumberFormat="1" applyFont="1" applyAlignment="1">
      <alignment horizontal="right"/>
    </xf>
    <xf numFmtId="164" fontId="8" fillId="0" borderId="0" xfId="0" applyNumberFormat="1" applyFont="1" applyAlignment="1">
      <alignment horizontal="right"/>
    </xf>
    <xf numFmtId="10" fontId="8" fillId="0" borderId="6" xfId="0" applyNumberFormat="1" applyFont="1" applyBorder="1" applyAlignment="1">
      <alignment horizontal="right"/>
    </xf>
    <xf numFmtId="6" fontId="8" fillId="0" borderId="0" xfId="0" applyNumberFormat="1" applyFont="1" applyAlignment="1">
      <alignment horizontal="right"/>
    </xf>
    <xf numFmtId="10" fontId="1" fillId="0" borderId="0" xfId="0" applyNumberFormat="1" applyFont="1" applyAlignment="1">
      <alignment horizontal="right"/>
    </xf>
    <xf numFmtId="166" fontId="37" fillId="0" borderId="0" xfId="0" applyNumberFormat="1" applyFont="1" applyAlignment="1">
      <alignment horizontal="right"/>
    </xf>
    <xf numFmtId="170" fontId="37" fillId="0" borderId="0" xfId="0" applyNumberFormat="1" applyFont="1" applyAlignment="1">
      <alignment horizontal="right"/>
    </xf>
    <xf numFmtId="170" fontId="5" fillId="0" borderId="0" xfId="0" applyNumberFormat="1" applyFont="1" applyAlignment="1">
      <alignment horizontal="right"/>
    </xf>
    <xf numFmtId="170" fontId="8" fillId="0" borderId="0" xfId="0" applyNumberFormat="1" applyFont="1" applyAlignment="1">
      <alignment horizontal="right"/>
    </xf>
    <xf numFmtId="5" fontId="8" fillId="0" borderId="0" xfId="0" applyNumberFormat="1" applyFont="1" applyAlignment="1">
      <alignment horizontal="right"/>
    </xf>
    <xf numFmtId="37" fontId="1" fillId="0" borderId="11" xfId="0" applyNumberFormat="1" applyFont="1" applyBorder="1" applyAlignment="1">
      <alignment horizontal="right"/>
    </xf>
    <xf numFmtId="37" fontId="6" fillId="0" borderId="10" xfId="0" applyNumberFormat="1" applyFont="1" applyBorder="1" applyAlignment="1">
      <alignment horizontal="right"/>
    </xf>
    <xf numFmtId="37" fontId="6" fillId="0" borderId="9" xfId="0" applyNumberFormat="1" applyFont="1" applyBorder="1" applyAlignment="1">
      <alignment horizontal="right"/>
    </xf>
    <xf numFmtId="10" fontId="8" fillId="0" borderId="8" xfId="0" applyNumberFormat="1" applyFont="1" applyBorder="1" applyAlignment="1">
      <alignment horizontal="right"/>
    </xf>
    <xf numFmtId="164" fontId="5" fillId="0" borderId="2" xfId="0" applyNumberFormat="1" applyFont="1" applyBorder="1" applyAlignment="1">
      <alignment horizontal="right"/>
    </xf>
    <xf numFmtId="164" fontId="5" fillId="0" borderId="7" xfId="0" applyNumberFormat="1" applyFont="1" applyBorder="1" applyAlignment="1">
      <alignment horizontal="right"/>
    </xf>
    <xf numFmtId="169" fontId="36" fillId="0" borderId="0" xfId="0" applyNumberFormat="1" applyFont="1" applyAlignment="1">
      <alignment horizontal="right"/>
    </xf>
    <xf numFmtId="164" fontId="29" fillId="0" borderId="0" xfId="0" applyNumberFormat="1" applyFont="1"/>
    <xf numFmtId="0" fontId="13" fillId="5" borderId="0" xfId="0" applyFont="1" applyFill="1" applyAlignment="1">
      <alignment horizontal="right"/>
    </xf>
    <xf numFmtId="0" fontId="4" fillId="8" borderId="0" xfId="0" applyFont="1" applyFill="1"/>
    <xf numFmtId="0" fontId="4" fillId="8" borderId="0" xfId="0" applyFont="1" applyFill="1" applyAlignment="1">
      <alignment horizontal="right"/>
    </xf>
    <xf numFmtId="177" fontId="10" fillId="0" borderId="0" xfId="0" applyNumberFormat="1" applyFont="1" applyAlignment="1">
      <alignment horizontal="right"/>
    </xf>
    <xf numFmtId="0" fontId="23" fillId="5" borderId="0" xfId="0" quotePrefix="1" applyFont="1" applyFill="1" applyAlignment="1">
      <alignment horizontal="right"/>
    </xf>
    <xf numFmtId="41" fontId="12" fillId="5" borderId="0" xfId="0" applyNumberFormat="1" applyFont="1" applyFill="1"/>
    <xf numFmtId="41" fontId="5" fillId="5" borderId="0" xfId="0" applyNumberFormat="1" applyFont="1" applyFill="1"/>
    <xf numFmtId="164" fontId="12" fillId="5" borderId="0" xfId="0" applyNumberFormat="1" applyFont="1" applyFill="1"/>
    <xf numFmtId="41" fontId="21" fillId="5" borderId="0" xfId="0" applyNumberFormat="1" applyFont="1" applyFill="1"/>
    <xf numFmtId="41" fontId="7" fillId="5" borderId="0" xfId="0" applyNumberFormat="1" applyFont="1" applyFill="1"/>
    <xf numFmtId="0" fontId="12" fillId="5" borderId="0" xfId="0" applyFont="1" applyFill="1"/>
    <xf numFmtId="41" fontId="1" fillId="5" borderId="0" xfId="0" applyNumberFormat="1" applyFont="1" applyFill="1"/>
    <xf numFmtId="10" fontId="12" fillId="5" borderId="0" xfId="0" applyNumberFormat="1" applyFont="1" applyFill="1"/>
    <xf numFmtId="10" fontId="15" fillId="5" borderId="0" xfId="0" applyNumberFormat="1" applyFont="1" applyFill="1"/>
    <xf numFmtId="165" fontId="8" fillId="5" borderId="0" xfId="0" applyNumberFormat="1" applyFont="1" applyFill="1"/>
    <xf numFmtId="0" fontId="22" fillId="5" borderId="0" xfId="0" applyFont="1" applyFill="1"/>
    <xf numFmtId="41" fontId="22" fillId="5" borderId="0" xfId="0" applyNumberFormat="1" applyFont="1" applyFill="1"/>
    <xf numFmtId="41" fontId="18" fillId="5" borderId="0" xfId="0" applyNumberFormat="1" applyFont="1" applyFill="1"/>
    <xf numFmtId="10" fontId="5" fillId="5" borderId="0" xfId="0" applyNumberFormat="1" applyFont="1" applyFill="1"/>
    <xf numFmtId="0" fontId="46" fillId="0" borderId="0" xfId="0" quotePrefix="1" applyFont="1"/>
    <xf numFmtId="175" fontId="5" fillId="0" borderId="0" xfId="0" applyNumberFormat="1" applyFont="1" applyAlignment="1">
      <alignment horizontal="right"/>
    </xf>
    <xf numFmtId="178" fontId="47" fillId="0" borderId="0" xfId="0" applyNumberFormat="1" applyFont="1" applyAlignment="1">
      <alignment horizontal="right"/>
    </xf>
    <xf numFmtId="3" fontId="48" fillId="0" borderId="0" xfId="0" applyNumberFormat="1" applyFont="1" applyAlignment="1">
      <alignment horizontal="right"/>
    </xf>
    <xf numFmtId="10" fontId="48" fillId="0" borderId="0" xfId="0" applyNumberFormat="1" applyFont="1" applyAlignment="1">
      <alignment horizontal="right"/>
    </xf>
    <xf numFmtId="180" fontId="47" fillId="0" borderId="0" xfId="0" applyNumberFormat="1" applyFont="1" applyAlignment="1">
      <alignment horizontal="right"/>
    </xf>
    <xf numFmtId="181" fontId="48" fillId="0" borderId="0" xfId="0" applyNumberFormat="1" applyFont="1" applyAlignment="1">
      <alignment horizontal="right"/>
    </xf>
    <xf numFmtId="181" fontId="47" fillId="0" borderId="0" xfId="0" applyNumberFormat="1" applyFont="1" applyAlignment="1">
      <alignment horizontal="right"/>
    </xf>
    <xf numFmtId="179" fontId="46" fillId="0" borderId="0" xfId="0" applyNumberFormat="1" applyFont="1" applyAlignment="1">
      <alignment horizontal="left"/>
    </xf>
    <xf numFmtId="175" fontId="47" fillId="0" borderId="0" xfId="0" quotePrefix="1" applyNumberFormat="1" applyFont="1" applyAlignment="1">
      <alignment horizontal="left"/>
    </xf>
    <xf numFmtId="0" fontId="49" fillId="0" borderId="0" xfId="0" quotePrefix="1" applyFont="1"/>
    <xf numFmtId="15" fontId="1" fillId="0" borderId="0" xfId="0" applyNumberFormat="1" applyFont="1" applyAlignment="1">
      <alignment horizontal="right"/>
    </xf>
    <xf numFmtId="3" fontId="47" fillId="0" borderId="0" xfId="0" applyNumberFormat="1" applyFont="1" applyAlignment="1">
      <alignment horizontal="right"/>
    </xf>
    <xf numFmtId="180" fontId="1" fillId="0" borderId="0" xfId="0" applyNumberFormat="1" applyFont="1" applyAlignment="1">
      <alignment horizontal="right"/>
    </xf>
    <xf numFmtId="167" fontId="5" fillId="0" borderId="0" xfId="0" applyNumberFormat="1" applyFont="1" applyAlignment="1">
      <alignment horizontal="left"/>
    </xf>
    <xf numFmtId="0" fontId="5" fillId="0" borderId="0" xfId="0" applyFont="1" applyAlignment="1">
      <alignment horizontal="left"/>
    </xf>
    <xf numFmtId="0" fontId="50" fillId="8" borderId="0" xfId="0" applyFont="1" applyFill="1" applyAlignment="1">
      <alignment horizontal="left"/>
    </xf>
    <xf numFmtId="0" fontId="2" fillId="8" borderId="0" xfId="0" applyFont="1" applyFill="1" applyAlignment="1">
      <alignment horizontal="right"/>
    </xf>
    <xf numFmtId="0" fontId="50" fillId="4" borderId="0" xfId="0" applyFont="1" applyFill="1" applyAlignment="1">
      <alignment horizontal="left"/>
    </xf>
    <xf numFmtId="14" fontId="1" fillId="0" borderId="0" xfId="0" applyNumberFormat="1" applyFont="1"/>
    <xf numFmtId="10" fontId="48" fillId="0" borderId="0" xfId="0" applyNumberFormat="1" applyFont="1"/>
    <xf numFmtId="181" fontId="1" fillId="0" borderId="0" xfId="0" applyNumberFormat="1" applyFont="1"/>
    <xf numFmtId="180" fontId="1" fillId="0" borderId="0" xfId="0" applyNumberFormat="1" applyFont="1"/>
    <xf numFmtId="0" fontId="52" fillId="8" borderId="0" xfId="0" applyFont="1" applyFill="1"/>
    <xf numFmtId="8" fontId="1" fillId="0" borderId="0" xfId="0" applyNumberFormat="1" applyFont="1" applyAlignment="1">
      <alignment horizontal="right"/>
    </xf>
    <xf numFmtId="0" fontId="50" fillId="3" borderId="0" xfId="0" applyFont="1" applyFill="1" applyAlignment="1">
      <alignment horizontal="right"/>
    </xf>
    <xf numFmtId="0" fontId="53" fillId="5" borderId="0" xfId="2" applyFont="1" applyFill="1" applyAlignment="1">
      <alignment horizontal="right"/>
    </xf>
    <xf numFmtId="0" fontId="53" fillId="0" borderId="0" xfId="2" applyFont="1"/>
    <xf numFmtId="0" fontId="43" fillId="0" borderId="0" xfId="0" applyFont="1" applyAlignment="1">
      <alignment wrapText="1"/>
    </xf>
    <xf numFmtId="0" fontId="53" fillId="0" borderId="0" xfId="2" applyFont="1" applyFill="1"/>
    <xf numFmtId="0" fontId="28" fillId="0" borderId="0" xfId="2"/>
    <xf numFmtId="0" fontId="53" fillId="0" borderId="0" xfId="2" applyFont="1" applyAlignment="1">
      <alignment horizontal="left" vertical="center"/>
    </xf>
    <xf numFmtId="0" fontId="51" fillId="0" borderId="0" xfId="0" applyFont="1" applyAlignment="1">
      <alignment horizontal="left"/>
    </xf>
    <xf numFmtId="0" fontId="55" fillId="6" borderId="0" xfId="2" applyFont="1" applyFill="1" applyAlignment="1">
      <alignment horizontal="center" vertical="center" wrapText="1"/>
    </xf>
    <xf numFmtId="10" fontId="54" fillId="0" borderId="0" xfId="2" applyNumberFormat="1" applyFont="1" applyAlignment="1">
      <alignment horizontal="left"/>
    </xf>
  </cellXfs>
  <cellStyles count="3">
    <cellStyle name="Comma" xfId="1" builtinId="3"/>
    <cellStyle name="Hyperlink" xfId="2" builtinId="8"/>
    <cellStyle name="Normal" xfId="0" builtinId="0"/>
  </cellStyles>
  <dxfs count="7">
    <dxf>
      <font>
        <color theme="0" tint="-0.14996795556505021"/>
      </font>
      <fill>
        <patternFill>
          <bgColor theme="0" tint="-0.14996795556505021"/>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tint="-0.34998626667073579"/>
      </font>
      <numFmt numFmtId="182" formatCode="&quot;See Amortization Tab&quot;"/>
      <fill>
        <patternFill>
          <bgColor theme="0" tint="-0.14996795556505021"/>
        </patternFill>
      </fill>
    </dxf>
    <dxf>
      <font>
        <color theme="0" tint="-0.14996795556505021"/>
      </font>
      <numFmt numFmtId="0" formatCode="General"/>
      <fill>
        <patternFill>
          <bgColor theme="0" tint="-0.14996795556505021"/>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OfficeStock"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al%20Estate/individuals/EAST/Deals/Active/The%20Sagamore%20Apartments/1.0%20Appraisal/ARC%20Merrill%20Lynch%20MHP%2006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IBMDM/View/1d6d61c/Toolkit.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fficeStock"/>
      <sheetName val="Inputs"/>
      <sheetName val="SFC"/>
      <sheetName val="rents"/>
      <sheetName val="Bldg. Sales Grid"/>
      <sheetName val="Sales"/>
      <sheetName val="Sheet1"/>
      <sheetName val="Ta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Raw Data Fields"/>
      <sheetName val="Inputs"/>
      <sheetName val="Methodology"/>
      <sheetName val="RevSel"/>
      <sheetName val="ExpSel"/>
      <sheetName val="ARC Property List"/>
      <sheetName val="Values"/>
      <sheetName val="SFC"/>
      <sheetName val="Intro"/>
      <sheetName val="Restricted"/>
      <sheetName val="Survey Results"/>
      <sheetName val="Exposure"/>
      <sheetName val="Area"/>
      <sheetName val="Demos"/>
      <sheetName val="MktStdy"/>
      <sheetName val="MktStdyRents"/>
      <sheetName val="Zoning"/>
      <sheetName val="Site"/>
      <sheetName val="Improv"/>
      <sheetName val="ImpAnalysis"/>
      <sheetName val="Tax"/>
      <sheetName val="TaxAssum"/>
      <sheetName val="Tax Comps"/>
      <sheetName val="L Sum"/>
      <sheetName val="L Grid"/>
      <sheetName val="L Sum (2)"/>
      <sheetName val="L Grid (2)"/>
      <sheetName val="Ins Val (2)"/>
      <sheetName val="Cost"/>
      <sheetName val="Cost_Comps"/>
      <sheetName val="Ins Val"/>
      <sheetName val="LUD"/>
      <sheetName val="IS_Sum"/>
      <sheetName val="IS Grid"/>
      <sheetName val="IS Concl"/>
      <sheetName val="Rent Sum"/>
      <sheetName val="Comp. Rents"/>
      <sheetName val="Mkt Rent-Pads"/>
      <sheetName val="Mkt Rent-Rental Units"/>
      <sheetName val="ARC Financials"/>
      <sheetName val="Op History"/>
      <sheetName val="OpHistDial"/>
      <sheetName val="Exp Comps"/>
      <sheetName val="Exp Charts"/>
      <sheetName val="ExpChartDial"/>
      <sheetName val="Cap Rates"/>
      <sheetName val="Dir Cap"/>
      <sheetName val="DirCapDial"/>
      <sheetName val="DCF Assum"/>
      <sheetName val="APT DCF"/>
      <sheetName val="DCF Dial"/>
      <sheetName val="Key Assumptions"/>
      <sheetName val="Int Rev"/>
      <sheetName val="Job Center"/>
      <sheetName val="Macros"/>
      <sheetName val="OfficeSto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ps"/>
      <sheetName val="Loan"/>
      <sheetName val="Income"/>
      <sheetName val="Inctype"/>
      <sheetName val="Credit"/>
      <sheetName val="Rating"/>
      <sheetName val="Risk"/>
      <sheetName val="Amort"/>
      <sheetName val="Borrower"/>
      <sheetName val="Rent roll"/>
      <sheetName val="Retail Tenants"/>
      <sheetName val="Rent data"/>
      <sheetName val="DCF"/>
      <sheetName val="Bldgs"/>
      <sheetName val="Const"/>
      <sheetName val="New Inv"/>
      <sheetName val="Stress Tests"/>
      <sheetName val="Sizing"/>
      <sheetName val="Checklist"/>
      <sheetName val="Yield"/>
      <sheetName val="Cost"/>
      <sheetName val="Equity"/>
      <sheetName val="Terms"/>
      <sheetName val="Spreads"/>
      <sheetName val="ACLI"/>
      <sheetName val="Committee"/>
      <sheetName val="Committee Lookups"/>
      <sheetName val="Utilities"/>
      <sheetName val="Toolkit"/>
      <sheetName val=""/>
    </sheetNames>
    <sheetDataSet>
      <sheetData sheetId="0" refreshError="1"/>
      <sheetData sheetId="1">
        <row r="1">
          <cell r="J1" t="str">
            <v>(Loan number)</v>
          </cell>
        </row>
        <row r="8">
          <cell r="J8">
            <v>20000000</v>
          </cell>
        </row>
        <row r="33">
          <cell r="J33">
            <v>67416908.811349273</v>
          </cell>
        </row>
      </sheetData>
      <sheetData sheetId="2">
        <row r="13">
          <cell r="E13">
            <v>299995</v>
          </cell>
        </row>
      </sheetData>
      <sheetData sheetId="3" refreshError="1"/>
      <sheetData sheetId="4">
        <row r="18">
          <cell r="K18">
            <v>3876472.2566525848</v>
          </cell>
        </row>
      </sheetData>
      <sheetData sheetId="5">
        <row r="6">
          <cell r="G6" t="str">
            <v>Budget</v>
          </cell>
        </row>
      </sheetData>
      <sheetData sheetId="6">
        <row r="51">
          <cell r="A51">
            <v>4</v>
          </cell>
        </row>
      </sheetData>
      <sheetData sheetId="7" refreshError="1"/>
      <sheetData sheetId="8">
        <row r="7">
          <cell r="A7" t="str">
            <v>(Borrower legal name)</v>
          </cell>
        </row>
      </sheetData>
      <sheetData sheetId="9" refreshError="1"/>
      <sheetData sheetId="10" refreshError="1"/>
      <sheetData sheetId="11" refreshError="1"/>
      <sheetData sheetId="12">
        <row r="11">
          <cell r="C11">
            <v>10</v>
          </cell>
        </row>
      </sheetData>
      <sheetData sheetId="13" refreshError="1"/>
      <sheetData sheetId="14">
        <row r="7">
          <cell r="I7">
            <v>20000000</v>
          </cell>
        </row>
      </sheetData>
      <sheetData sheetId="15">
        <row r="10">
          <cell r="I10" t="str">
            <v>No sale restrictions</v>
          </cell>
        </row>
      </sheetData>
      <sheetData sheetId="16" refreshError="1"/>
      <sheetData sheetId="17" refreshError="1"/>
      <sheetData sheetId="18" refreshError="1"/>
      <sheetData sheetId="19">
        <row r="10">
          <cell r="J10">
            <v>9.0044000000000004</v>
          </cell>
        </row>
      </sheetData>
      <sheetData sheetId="20" refreshError="1"/>
      <sheetData sheetId="21">
        <row r="8">
          <cell r="J8">
            <v>20000000</v>
          </cell>
        </row>
      </sheetData>
      <sheetData sheetId="22">
        <row r="19">
          <cell r="D19">
            <v>36412</v>
          </cell>
        </row>
      </sheetData>
      <sheetData sheetId="23">
        <row r="6">
          <cell r="AN6" t="str">
            <v>Office</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theme/theme1.xml><?xml version="1.0" encoding="utf-8"?>
<a:theme xmlns:a="http://schemas.openxmlformats.org/drawingml/2006/main" name="Slice">
  <a:themeElements>
    <a:clrScheme name="Slice">
      <a:dk1>
        <a:sysClr val="windowText" lastClr="000000"/>
      </a:dk1>
      <a:lt1>
        <a:sysClr val="window" lastClr="FFFFFF"/>
      </a:lt1>
      <a:dk2>
        <a:srgbClr val="146194"/>
      </a:dk2>
      <a:lt2>
        <a:srgbClr val="76DBF4"/>
      </a:lt2>
      <a:accent1>
        <a:srgbClr val="052F61"/>
      </a:accent1>
      <a:accent2>
        <a:srgbClr val="A50E82"/>
      </a:accent2>
      <a:accent3>
        <a:srgbClr val="14967C"/>
      </a:accent3>
      <a:accent4>
        <a:srgbClr val="6A9E1F"/>
      </a:accent4>
      <a:accent5>
        <a:srgbClr val="E87D37"/>
      </a:accent5>
      <a:accent6>
        <a:srgbClr val="C62324"/>
      </a:accent6>
      <a:hlink>
        <a:srgbClr val="0D2E46"/>
      </a:hlink>
      <a:folHlink>
        <a:srgbClr val="356A95"/>
      </a:folHlink>
    </a:clrScheme>
    <a:fontScheme name="Slice">
      <a:maj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Slice">
      <a:fillStyleLst>
        <a:solidFill>
          <a:schemeClr val="phClr"/>
        </a:solidFill>
        <a:gradFill rotWithShape="1">
          <a:gsLst>
            <a:gs pos="0">
              <a:schemeClr val="phClr">
                <a:tint val="62000"/>
                <a:hueMod val="94000"/>
                <a:satMod val="140000"/>
                <a:lumMod val="110000"/>
              </a:schemeClr>
            </a:gs>
            <a:gs pos="100000">
              <a:schemeClr val="phClr">
                <a:tint val="84000"/>
                <a:satMod val="160000"/>
              </a:schemeClr>
            </a:gs>
          </a:gsLst>
          <a:lin ang="5400000" scaled="0"/>
        </a:gradFill>
        <a:gradFill rotWithShape="1">
          <a:gsLst>
            <a:gs pos="0">
              <a:schemeClr val="phClr">
                <a:tint val="98000"/>
                <a:hueMod val="94000"/>
                <a:satMod val="130000"/>
                <a:lumMod val="128000"/>
              </a:schemeClr>
            </a:gs>
            <a:gs pos="100000">
              <a:schemeClr val="phClr">
                <a:shade val="94000"/>
                <a:lumMod val="88000"/>
              </a:schemeClr>
            </a:gs>
          </a:gsLst>
          <a:lin ang="5400000" scaled="0"/>
        </a:gradFill>
      </a:fillStyleLst>
      <a:lnStyleLst>
        <a:ln w="9525" cap="rnd" cmpd="sng" algn="ctr">
          <a:solidFill>
            <a:schemeClr val="phClr">
              <a:tint val="76000"/>
              <a:alpha val="60000"/>
              <a:hueMod val="94000"/>
            </a:schemeClr>
          </a:solidFill>
          <a:prstDash val="solid"/>
        </a:ln>
        <a:ln w="15875" cap="rnd" cmpd="sng" algn="ctr">
          <a:solidFill>
            <a:schemeClr val="phClr">
              <a:hueMod val="94000"/>
            </a:schemeClr>
          </a:solidFill>
          <a:prstDash val="solid"/>
        </a:ln>
        <a:ln w="28575" cap="rnd" cmpd="sng" algn="ctr">
          <a:solidFill>
            <a:schemeClr val="phClr"/>
          </a:solidFill>
          <a:prstDash val="solid"/>
        </a:ln>
      </a:lnStyleLst>
      <a:effectStyleLst>
        <a:effectStyle>
          <a:effectLst/>
        </a:effectStyle>
        <a:effectStyle>
          <a:effectLst>
            <a:innerShdw blurRad="25400" dist="12700" dir="13500000">
              <a:srgbClr val="000000">
                <a:alpha val="45000"/>
              </a:srgbClr>
            </a:innerShdw>
          </a:effectLst>
        </a:effectStyle>
        <a:effectStyle>
          <a:effectLst>
            <a:outerShdw blurRad="50800" dist="38100" dir="5400000" rotWithShape="0">
              <a:srgbClr val="000000">
                <a:alpha val="46000"/>
              </a:srgbClr>
            </a:outerShdw>
          </a:effectLst>
          <a:scene3d>
            <a:camera prst="orthographicFront">
              <a:rot lat="0" lon="0" rev="0"/>
            </a:camera>
            <a:lightRig rig="threePt" dir="t"/>
          </a:scene3d>
          <a:sp3d prstMaterial="plastic">
            <a:bevelT w="25400" h="25400"/>
          </a:sp3d>
        </a:effectStyle>
      </a:effectStyleLst>
      <a:bgFillStyleLst>
        <a:solidFill>
          <a:schemeClr val="phClr"/>
        </a:solidFill>
        <a:gradFill rotWithShape="1">
          <a:gsLst>
            <a:gs pos="10000">
              <a:schemeClr val="phClr">
                <a:tint val="97000"/>
                <a:hueMod val="92000"/>
                <a:satMod val="169000"/>
                <a:lumMod val="164000"/>
              </a:schemeClr>
            </a:gs>
            <a:gs pos="100000">
              <a:schemeClr val="phClr">
                <a:shade val="96000"/>
                <a:satMod val="120000"/>
                <a:lumMod val="90000"/>
              </a:schemeClr>
            </a:gs>
          </a:gsLst>
          <a:lin ang="6120000" scaled="1"/>
        </a:gradFill>
        <a:gradFill rotWithShape="1">
          <a:gsLst>
            <a:gs pos="0">
              <a:schemeClr val="phClr">
                <a:tint val="97000"/>
                <a:hueMod val="92000"/>
                <a:satMod val="169000"/>
                <a:lumMod val="164000"/>
              </a:schemeClr>
            </a:gs>
            <a:gs pos="100000">
              <a:schemeClr val="phClr">
                <a:shade val="96000"/>
                <a:satMod val="120000"/>
                <a:lumMod val="90000"/>
              </a:schemeClr>
            </a:gs>
          </a:gsLst>
          <a:path path="circle">
            <a:fillToRect b="100000"/>
          </a:path>
        </a:gradFill>
      </a:bgFillStyleLst>
    </a:fmtScheme>
  </a:themeElements>
  <a:objectDefaults/>
  <a:extraClrSchemeLst/>
  <a:extLst>
    <a:ext uri="{05A4C25C-085E-4340-85A3-A5531E510DB2}">
      <thm15:themeFamily xmlns:thm15="http://schemas.microsoft.com/office/thememl/2012/main" name="Slice" id="{0507925B-6AC9-4358-8E18-C330545D08F8}" vid="{13FEC7C6-62A9-40C4-99D2-581AACACAA2F}"/>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dventuresincre.com/commercial-mortgage-loan-analysis-model/" TargetMode="External"/><Relationship Id="rId7" Type="http://schemas.openxmlformats.org/officeDocument/2006/relationships/printerSettings" Target="../printerSettings/printerSettings1.bin"/><Relationship Id="rId2" Type="http://schemas.openxmlformats.org/officeDocument/2006/relationships/hyperlink" Target="https://www.adventuresincre.com/library-real-estate-excel-models/" TargetMode="External"/><Relationship Id="rId1" Type="http://schemas.openxmlformats.org/officeDocument/2006/relationships/hyperlink" Target="https://www.adventuresincre.com/" TargetMode="External"/><Relationship Id="rId6" Type="http://schemas.openxmlformats.org/officeDocument/2006/relationships/hyperlink" Target="https://www.adventuresincre.com/acre-disclaimer/" TargetMode="External"/><Relationship Id="rId5" Type="http://schemas.openxmlformats.org/officeDocument/2006/relationships/hyperlink" Target="https://www.adventuresincre.shop/accelerator/" TargetMode="External"/><Relationship Id="rId4" Type="http://schemas.openxmlformats.org/officeDocument/2006/relationships/hyperlink" Target="https://www.adventuresincre.com/re-modeling/excel-models/deb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treasury.gov/resource-center/data-chart-center/interest-rates/Pages/TextView.aspx?data=yield"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18253-BEA4-462F-9291-77941CD5B03B}">
  <dimension ref="A1:O150"/>
  <sheetViews>
    <sheetView showGridLines="0" tabSelected="1" zoomScale="85" zoomScaleNormal="85" workbookViewId="0"/>
  </sheetViews>
  <sheetFormatPr defaultColWidth="0" defaultRowHeight="16.5" x14ac:dyDescent="0.3"/>
  <cols>
    <col min="1" max="1" width="1.625" customWidth="1"/>
    <col min="2" max="2" width="11" style="111" customWidth="1"/>
    <col min="3" max="3" width="11.625" style="110" customWidth="1"/>
    <col min="4" max="4" width="10.75" style="110" customWidth="1"/>
    <col min="5" max="14" width="9" style="110" customWidth="1"/>
    <col min="15" max="15" width="0.75" customWidth="1"/>
    <col min="16" max="16384" width="9" hidden="1"/>
  </cols>
  <sheetData>
    <row r="1" spans="2:14" ht="5.0999999999999996" customHeight="1" x14ac:dyDescent="0.3">
      <c r="B1"/>
      <c r="C1"/>
      <c r="D1"/>
      <c r="E1"/>
      <c r="F1"/>
      <c r="G1"/>
      <c r="H1"/>
      <c r="I1"/>
      <c r="J1"/>
      <c r="K1"/>
      <c r="L1"/>
      <c r="M1"/>
      <c r="N1"/>
    </row>
    <row r="2" spans="2:14" ht="17.25" x14ac:dyDescent="0.3">
      <c r="B2" s="122" t="s">
        <v>166</v>
      </c>
      <c r="C2" s="120"/>
      <c r="D2" s="120"/>
      <c r="E2" s="120"/>
      <c r="F2" s="120"/>
      <c r="G2" s="120"/>
      <c r="H2" s="120"/>
      <c r="I2" s="120"/>
      <c r="J2" s="120"/>
      <c r="K2" s="120"/>
      <c r="L2" s="121"/>
      <c r="M2" s="120"/>
      <c r="N2" s="120"/>
    </row>
    <row r="3" spans="2:14" x14ac:dyDescent="0.3">
      <c r="B3" s="116" t="s">
        <v>108</v>
      </c>
      <c r="C3" s="115"/>
      <c r="D3" s="115"/>
      <c r="E3" s="115"/>
      <c r="F3" s="115"/>
      <c r="G3" s="115"/>
      <c r="H3" s="115"/>
      <c r="I3" s="115"/>
      <c r="J3" s="115"/>
      <c r="K3" s="115"/>
      <c r="L3" s="115"/>
      <c r="M3" s="115"/>
      <c r="N3" s="119" t="str">
        <f>B15</f>
        <v>v2.5</v>
      </c>
    </row>
    <row r="4" spans="2:14" x14ac:dyDescent="0.3">
      <c r="B4" t="s">
        <v>114</v>
      </c>
      <c r="C4"/>
      <c r="D4"/>
      <c r="E4"/>
      <c r="F4"/>
      <c r="G4"/>
      <c r="H4"/>
      <c r="I4"/>
      <c r="J4" s="118" t="s">
        <v>115</v>
      </c>
      <c r="K4"/>
      <c r="M4"/>
      <c r="N4"/>
    </row>
    <row r="5" spans="2:14" x14ac:dyDescent="0.3">
      <c r="B5" s="225" t="s">
        <v>116</v>
      </c>
      <c r="C5" s="225"/>
      <c r="D5" s="225"/>
      <c r="E5"/>
      <c r="F5"/>
      <c r="G5"/>
      <c r="H5"/>
      <c r="I5"/>
      <c r="J5" s="227" t="s">
        <v>117</v>
      </c>
      <c r="K5" s="227" t="s">
        <v>117</v>
      </c>
      <c r="L5" s="227" t="s">
        <v>117</v>
      </c>
      <c r="M5" s="227" t="s">
        <v>117</v>
      </c>
      <c r="N5"/>
    </row>
    <row r="6" spans="2:14" x14ac:dyDescent="0.3">
      <c r="B6"/>
      <c r="C6"/>
      <c r="D6"/>
      <c r="E6"/>
      <c r="F6"/>
      <c r="G6"/>
      <c r="H6"/>
      <c r="I6"/>
      <c r="J6" s="227" t="s">
        <v>119</v>
      </c>
      <c r="K6" s="227"/>
      <c r="L6" s="227"/>
      <c r="M6" s="227"/>
      <c r="N6"/>
    </row>
    <row r="7" spans="2:14" x14ac:dyDescent="0.3">
      <c r="B7" s="118" t="s">
        <v>110</v>
      </c>
      <c r="C7"/>
      <c r="D7"/>
      <c r="E7"/>
      <c r="F7"/>
      <c r="G7"/>
      <c r="H7"/>
      <c r="I7"/>
      <c r="J7"/>
      <c r="K7"/>
      <c r="L7"/>
      <c r="M7"/>
      <c r="N7"/>
    </row>
    <row r="8" spans="2:14" x14ac:dyDescent="0.3">
      <c r="B8" s="117" t="s">
        <v>111</v>
      </c>
      <c r="C8"/>
      <c r="D8"/>
      <c r="E8"/>
      <c r="F8"/>
      <c r="G8"/>
      <c r="H8"/>
      <c r="I8"/>
      <c r="J8" s="229" t="s">
        <v>118</v>
      </c>
      <c r="K8" s="229"/>
      <c r="L8" s="229"/>
      <c r="M8" s="229"/>
      <c r="N8" s="229"/>
    </row>
    <row r="9" spans="2:14" x14ac:dyDescent="0.3">
      <c r="B9" s="117" t="s">
        <v>112</v>
      </c>
      <c r="C9"/>
      <c r="D9"/>
      <c r="E9"/>
      <c r="F9"/>
      <c r="G9"/>
      <c r="H9"/>
      <c r="I9"/>
      <c r="J9" s="228"/>
      <c r="K9" s="228"/>
      <c r="L9" s="228"/>
      <c r="M9" s="228"/>
      <c r="N9"/>
    </row>
    <row r="10" spans="2:14" x14ac:dyDescent="0.3">
      <c r="B10" s="117" t="s">
        <v>113</v>
      </c>
      <c r="C10"/>
      <c r="D10"/>
      <c r="E10"/>
      <c r="F10"/>
      <c r="G10"/>
      <c r="H10"/>
      <c r="I10"/>
      <c r="J10"/>
      <c r="K10"/>
      <c r="L10"/>
      <c r="M10"/>
      <c r="N10"/>
    </row>
    <row r="11" spans="2:14" x14ac:dyDescent="0.3">
      <c r="B11"/>
      <c r="C11"/>
      <c r="D11"/>
      <c r="E11"/>
      <c r="F11"/>
      <c r="G11"/>
      <c r="H11"/>
      <c r="I11"/>
      <c r="J11"/>
      <c r="K11"/>
      <c r="L11"/>
      <c r="M11"/>
      <c r="N11"/>
    </row>
    <row r="12" spans="2:14" ht="36.75" customHeight="1" x14ac:dyDescent="0.3">
      <c r="B12" s="226" t="s">
        <v>174</v>
      </c>
      <c r="C12" s="226"/>
      <c r="D12" s="226"/>
      <c r="E12" s="226"/>
      <c r="F12" s="226"/>
      <c r="G12" s="226"/>
      <c r="H12" s="226"/>
      <c r="I12" s="226"/>
      <c r="J12" s="226"/>
      <c r="K12" s="226"/>
      <c r="L12" s="226"/>
      <c r="M12" s="226"/>
      <c r="N12" s="226"/>
    </row>
    <row r="13" spans="2:14" ht="37.5" customHeight="1" x14ac:dyDescent="0.3">
      <c r="B13" s="231" t="s">
        <v>173</v>
      </c>
      <c r="C13" s="231"/>
      <c r="D13" s="231"/>
      <c r="E13" s="231"/>
      <c r="F13" s="231"/>
      <c r="G13" s="231"/>
      <c r="H13" s="231"/>
      <c r="I13" s="231"/>
      <c r="J13" s="231"/>
      <c r="K13" s="231"/>
      <c r="L13" s="231"/>
      <c r="M13" s="231"/>
      <c r="N13" s="231"/>
    </row>
    <row r="14" spans="2:14" x14ac:dyDescent="0.3">
      <c r="B14" s="116" t="s">
        <v>109</v>
      </c>
      <c r="C14" s="115"/>
      <c r="D14" s="115"/>
      <c r="E14" s="115"/>
      <c r="F14" s="115"/>
      <c r="G14" s="115"/>
      <c r="H14" s="115"/>
      <c r="I14" s="115"/>
      <c r="J14" s="115"/>
      <c r="K14" s="224" t="s">
        <v>172</v>
      </c>
      <c r="L14" s="224"/>
      <c r="M14" s="224"/>
      <c r="N14" s="224"/>
    </row>
    <row r="15" spans="2:14" x14ac:dyDescent="0.3">
      <c r="B15" s="113" t="s">
        <v>276</v>
      </c>
      <c r="K15"/>
    </row>
    <row r="16" spans="2:14" x14ac:dyDescent="0.3">
      <c r="B16" s="123" t="s">
        <v>277</v>
      </c>
      <c r="K16"/>
    </row>
    <row r="17" spans="2:11" x14ac:dyDescent="0.3">
      <c r="B17" s="123" t="s">
        <v>278</v>
      </c>
      <c r="K17"/>
    </row>
    <row r="18" spans="2:11" x14ac:dyDescent="0.3">
      <c r="B18" s="123" t="s">
        <v>280</v>
      </c>
      <c r="K18"/>
    </row>
    <row r="19" spans="2:11" x14ac:dyDescent="0.3">
      <c r="B19" s="123" t="s">
        <v>281</v>
      </c>
      <c r="K19"/>
    </row>
    <row r="20" spans="2:11" x14ac:dyDescent="0.3">
      <c r="B20" s="123" t="s">
        <v>275</v>
      </c>
      <c r="K20"/>
    </row>
    <row r="21" spans="2:11" x14ac:dyDescent="0.3">
      <c r="B21" s="123"/>
      <c r="K21"/>
    </row>
    <row r="22" spans="2:11" x14ac:dyDescent="0.3">
      <c r="B22" s="113" t="s">
        <v>262</v>
      </c>
      <c r="K22"/>
    </row>
    <row r="23" spans="2:11" x14ac:dyDescent="0.3">
      <c r="B23" s="123" t="s">
        <v>263</v>
      </c>
      <c r="K23"/>
    </row>
    <row r="24" spans="2:11" x14ac:dyDescent="0.3">
      <c r="B24" s="123" t="s">
        <v>266</v>
      </c>
      <c r="K24"/>
    </row>
    <row r="25" spans="2:11" x14ac:dyDescent="0.3">
      <c r="B25" s="131" t="s">
        <v>267</v>
      </c>
      <c r="K25"/>
    </row>
    <row r="26" spans="2:11" x14ac:dyDescent="0.3">
      <c r="B26" s="131" t="s">
        <v>268</v>
      </c>
      <c r="K26"/>
    </row>
    <row r="27" spans="2:11" x14ac:dyDescent="0.3">
      <c r="B27" s="131" t="s">
        <v>269</v>
      </c>
      <c r="K27"/>
    </row>
    <row r="28" spans="2:11" x14ac:dyDescent="0.3">
      <c r="B28" s="131" t="s">
        <v>273</v>
      </c>
      <c r="K28"/>
    </row>
    <row r="29" spans="2:11" x14ac:dyDescent="0.3">
      <c r="B29" s="131" t="s">
        <v>264</v>
      </c>
      <c r="K29"/>
    </row>
    <row r="30" spans="2:11" x14ac:dyDescent="0.3">
      <c r="B30" s="131" t="s">
        <v>265</v>
      </c>
      <c r="K30"/>
    </row>
    <row r="31" spans="2:11" x14ac:dyDescent="0.3">
      <c r="B31" s="123" t="s">
        <v>274</v>
      </c>
      <c r="K31"/>
    </row>
    <row r="32" spans="2:11" x14ac:dyDescent="0.3">
      <c r="B32" s="123" t="s">
        <v>275</v>
      </c>
      <c r="K32"/>
    </row>
    <row r="33" spans="2:11" x14ac:dyDescent="0.3">
      <c r="B33" s="131"/>
      <c r="K33"/>
    </row>
    <row r="34" spans="2:11" x14ac:dyDescent="0.3">
      <c r="B34" s="113" t="s">
        <v>248</v>
      </c>
      <c r="K34"/>
    </row>
    <row r="35" spans="2:11" x14ac:dyDescent="0.3">
      <c r="B35" s="123" t="s">
        <v>249</v>
      </c>
      <c r="K35"/>
    </row>
    <row r="36" spans="2:11" x14ac:dyDescent="0.3">
      <c r="B36" s="131" t="s">
        <v>250</v>
      </c>
      <c r="K36"/>
    </row>
    <row r="37" spans="2:11" x14ac:dyDescent="0.3">
      <c r="B37" s="131" t="s">
        <v>251</v>
      </c>
      <c r="K37"/>
    </row>
    <row r="38" spans="2:11" x14ac:dyDescent="0.3">
      <c r="B38" s="131" t="s">
        <v>241</v>
      </c>
      <c r="K38"/>
    </row>
    <row r="39" spans="2:11" x14ac:dyDescent="0.3">
      <c r="B39" s="131" t="s">
        <v>229</v>
      </c>
      <c r="K39"/>
    </row>
    <row r="40" spans="2:11" x14ac:dyDescent="0.3">
      <c r="B40" s="131" t="s">
        <v>252</v>
      </c>
      <c r="K40"/>
    </row>
    <row r="41" spans="2:11" x14ac:dyDescent="0.3">
      <c r="B41" s="131" t="s">
        <v>253</v>
      </c>
      <c r="K41"/>
    </row>
    <row r="42" spans="2:11" x14ac:dyDescent="0.3">
      <c r="B42" s="123" t="s">
        <v>255</v>
      </c>
      <c r="K42"/>
    </row>
    <row r="43" spans="2:11" x14ac:dyDescent="0.3">
      <c r="B43" s="123"/>
      <c r="K43"/>
    </row>
    <row r="44" spans="2:11" x14ac:dyDescent="0.3">
      <c r="B44" s="113" t="s">
        <v>222</v>
      </c>
      <c r="K44"/>
    </row>
    <row r="45" spans="2:11" x14ac:dyDescent="0.3">
      <c r="B45" s="123" t="s">
        <v>223</v>
      </c>
      <c r="K45"/>
    </row>
    <row r="46" spans="2:11" x14ac:dyDescent="0.3">
      <c r="B46" s="123" t="s">
        <v>226</v>
      </c>
      <c r="K46"/>
    </row>
    <row r="47" spans="2:11" x14ac:dyDescent="0.3">
      <c r="B47" s="123" t="s">
        <v>227</v>
      </c>
      <c r="K47"/>
    </row>
    <row r="48" spans="2:11" x14ac:dyDescent="0.3">
      <c r="B48" s="123"/>
      <c r="K48"/>
    </row>
    <row r="49" spans="2:11" x14ac:dyDescent="0.3">
      <c r="B49" s="113" t="s">
        <v>219</v>
      </c>
      <c r="K49"/>
    </row>
    <row r="50" spans="2:11" x14ac:dyDescent="0.3">
      <c r="B50" s="123" t="s">
        <v>220</v>
      </c>
      <c r="K50"/>
    </row>
    <row r="51" spans="2:11" x14ac:dyDescent="0.3">
      <c r="B51" s="123" t="s">
        <v>221</v>
      </c>
      <c r="K51"/>
    </row>
    <row r="52" spans="2:11" x14ac:dyDescent="0.3">
      <c r="B52" s="123"/>
      <c r="K52"/>
    </row>
    <row r="53" spans="2:11" x14ac:dyDescent="0.3">
      <c r="B53" s="113" t="s">
        <v>201</v>
      </c>
      <c r="K53"/>
    </row>
    <row r="54" spans="2:11" x14ac:dyDescent="0.3">
      <c r="B54" s="123" t="s">
        <v>186</v>
      </c>
      <c r="K54"/>
    </row>
    <row r="55" spans="2:11" x14ac:dyDescent="0.3">
      <c r="B55" s="123" t="s">
        <v>195</v>
      </c>
      <c r="K55"/>
    </row>
    <row r="56" spans="2:11" x14ac:dyDescent="0.3">
      <c r="B56" s="123" t="s">
        <v>196</v>
      </c>
      <c r="K56"/>
    </row>
    <row r="57" spans="2:11" x14ac:dyDescent="0.3">
      <c r="B57" s="123" t="s">
        <v>197</v>
      </c>
      <c r="K57"/>
    </row>
    <row r="58" spans="2:11" x14ac:dyDescent="0.3">
      <c r="B58" s="123" t="s">
        <v>198</v>
      </c>
      <c r="K58"/>
    </row>
    <row r="59" spans="2:11" x14ac:dyDescent="0.3">
      <c r="B59" s="123" t="s">
        <v>199</v>
      </c>
      <c r="K59"/>
    </row>
    <row r="60" spans="2:11" x14ac:dyDescent="0.3">
      <c r="B60" s="131" t="s">
        <v>200</v>
      </c>
      <c r="K60"/>
    </row>
    <row r="61" spans="2:11" x14ac:dyDescent="0.3">
      <c r="B61" s="131" t="s">
        <v>218</v>
      </c>
      <c r="K61"/>
    </row>
    <row r="62" spans="2:11" x14ac:dyDescent="0.3">
      <c r="B62" s="131" t="s">
        <v>207</v>
      </c>
      <c r="K62"/>
    </row>
    <row r="63" spans="2:11" x14ac:dyDescent="0.3">
      <c r="B63" s="123" t="s">
        <v>203</v>
      </c>
      <c r="K63"/>
    </row>
    <row r="64" spans="2:11" x14ac:dyDescent="0.3">
      <c r="B64" s="123" t="s">
        <v>206</v>
      </c>
      <c r="K64"/>
    </row>
    <row r="65" spans="2:11" x14ac:dyDescent="0.3">
      <c r="B65" s="123" t="s">
        <v>208</v>
      </c>
      <c r="K65"/>
    </row>
    <row r="66" spans="2:11" x14ac:dyDescent="0.3">
      <c r="B66" s="123" t="s">
        <v>215</v>
      </c>
      <c r="K66"/>
    </row>
    <row r="67" spans="2:11" x14ac:dyDescent="0.3">
      <c r="B67" s="131" t="s">
        <v>216</v>
      </c>
      <c r="K67"/>
    </row>
    <row r="68" spans="2:11" x14ac:dyDescent="0.3">
      <c r="B68" s="131" t="s">
        <v>217</v>
      </c>
      <c r="K68"/>
    </row>
    <row r="69" spans="2:11" x14ac:dyDescent="0.3">
      <c r="B69" s="131"/>
      <c r="K69"/>
    </row>
    <row r="70" spans="2:11" x14ac:dyDescent="0.3">
      <c r="B70" s="113" t="s">
        <v>162</v>
      </c>
      <c r="K70"/>
    </row>
    <row r="71" spans="2:11" x14ac:dyDescent="0.3">
      <c r="B71" s="111" t="s">
        <v>163</v>
      </c>
      <c r="K71"/>
    </row>
    <row r="72" spans="2:11" x14ac:dyDescent="0.3">
      <c r="B72" s="111" t="s">
        <v>164</v>
      </c>
      <c r="K72"/>
    </row>
    <row r="73" spans="2:11" x14ac:dyDescent="0.3">
      <c r="B73" s="111" t="s">
        <v>167</v>
      </c>
      <c r="K73"/>
    </row>
    <row r="74" spans="2:11" x14ac:dyDescent="0.3">
      <c r="B74" s="111" t="s">
        <v>169</v>
      </c>
      <c r="K74"/>
    </row>
    <row r="75" spans="2:11" x14ac:dyDescent="0.3">
      <c r="B75" s="113"/>
      <c r="K75"/>
    </row>
    <row r="76" spans="2:11" x14ac:dyDescent="0.3">
      <c r="B76" s="113" t="s">
        <v>165</v>
      </c>
      <c r="K76"/>
    </row>
    <row r="77" spans="2:11" x14ac:dyDescent="0.3">
      <c r="B77" s="111" t="s">
        <v>120</v>
      </c>
      <c r="K77"/>
    </row>
    <row r="78" spans="2:11" x14ac:dyDescent="0.3">
      <c r="B78" s="111" t="s">
        <v>121</v>
      </c>
      <c r="K78"/>
    </row>
    <row r="79" spans="2:11" x14ac:dyDescent="0.3">
      <c r="B79" s="114"/>
      <c r="K79"/>
    </row>
    <row r="80" spans="2:11" x14ac:dyDescent="0.3">
      <c r="B80" s="114"/>
      <c r="K80"/>
    </row>
    <row r="81" spans="2:11" x14ac:dyDescent="0.3">
      <c r="B81" s="114"/>
      <c r="K81"/>
    </row>
    <row r="82" spans="2:11" x14ac:dyDescent="0.3">
      <c r="K82"/>
    </row>
    <row r="83" spans="2:11" x14ac:dyDescent="0.3">
      <c r="B83" s="114"/>
      <c r="K83"/>
    </row>
    <row r="84" spans="2:11" x14ac:dyDescent="0.3">
      <c r="B84" s="114"/>
      <c r="K84"/>
    </row>
    <row r="85" spans="2:11" x14ac:dyDescent="0.3">
      <c r="B85" s="114"/>
      <c r="K85"/>
    </row>
    <row r="86" spans="2:11" x14ac:dyDescent="0.3">
      <c r="K86"/>
    </row>
    <row r="87" spans="2:11" x14ac:dyDescent="0.3">
      <c r="K87"/>
    </row>
    <row r="88" spans="2:11" x14ac:dyDescent="0.3">
      <c r="B88" s="113"/>
      <c r="K88"/>
    </row>
    <row r="89" spans="2:11" x14ac:dyDescent="0.3">
      <c r="K89"/>
    </row>
    <row r="90" spans="2:11" x14ac:dyDescent="0.3">
      <c r="K90"/>
    </row>
    <row r="91" spans="2:11" x14ac:dyDescent="0.3">
      <c r="K91"/>
    </row>
    <row r="92" spans="2:11" x14ac:dyDescent="0.3">
      <c r="K92"/>
    </row>
    <row r="93" spans="2:11" x14ac:dyDescent="0.3">
      <c r="K93"/>
    </row>
    <row r="94" spans="2:11" x14ac:dyDescent="0.3">
      <c r="K94"/>
    </row>
    <row r="95" spans="2:11" x14ac:dyDescent="0.3">
      <c r="B95" s="113"/>
      <c r="K95"/>
    </row>
    <row r="96" spans="2:11" x14ac:dyDescent="0.3">
      <c r="K96"/>
    </row>
    <row r="97" spans="2:11" x14ac:dyDescent="0.3">
      <c r="K97"/>
    </row>
    <row r="98" spans="2:11" x14ac:dyDescent="0.3">
      <c r="K98"/>
    </row>
    <row r="99" spans="2:11" x14ac:dyDescent="0.3">
      <c r="B99" s="113"/>
      <c r="K99"/>
    </row>
    <row r="100" spans="2:11" x14ac:dyDescent="0.3">
      <c r="K100"/>
    </row>
    <row r="101" spans="2:11" x14ac:dyDescent="0.3">
      <c r="K101"/>
    </row>
    <row r="102" spans="2:11" x14ac:dyDescent="0.3">
      <c r="K102"/>
    </row>
    <row r="103" spans="2:11" x14ac:dyDescent="0.3">
      <c r="K103"/>
    </row>
    <row r="104" spans="2:11" x14ac:dyDescent="0.3">
      <c r="K104"/>
    </row>
    <row r="105" spans="2:11" x14ac:dyDescent="0.3">
      <c r="K105"/>
    </row>
    <row r="106" spans="2:11" x14ac:dyDescent="0.3">
      <c r="B106" s="113"/>
      <c r="K106"/>
    </row>
    <row r="107" spans="2:11" x14ac:dyDescent="0.3">
      <c r="K107"/>
    </row>
    <row r="108" spans="2:11" x14ac:dyDescent="0.3">
      <c r="K108"/>
    </row>
    <row r="109" spans="2:11" x14ac:dyDescent="0.3">
      <c r="K109"/>
    </row>
    <row r="110" spans="2:11" x14ac:dyDescent="0.3">
      <c r="K110"/>
    </row>
    <row r="111" spans="2:11" x14ac:dyDescent="0.3">
      <c r="K111"/>
    </row>
    <row r="112" spans="2:11" x14ac:dyDescent="0.3">
      <c r="K112"/>
    </row>
    <row r="113" spans="2:11" x14ac:dyDescent="0.3">
      <c r="K113"/>
    </row>
    <row r="114" spans="2:11" x14ac:dyDescent="0.3">
      <c r="K114"/>
    </row>
    <row r="115" spans="2:11" x14ac:dyDescent="0.3">
      <c r="B115" s="113"/>
      <c r="K115"/>
    </row>
    <row r="116" spans="2:11" x14ac:dyDescent="0.3">
      <c r="K116"/>
    </row>
    <row r="117" spans="2:11" x14ac:dyDescent="0.3">
      <c r="K117"/>
    </row>
    <row r="118" spans="2:11" x14ac:dyDescent="0.3">
      <c r="K118"/>
    </row>
    <row r="119" spans="2:11" x14ac:dyDescent="0.3">
      <c r="K119"/>
    </row>
    <row r="120" spans="2:11" x14ac:dyDescent="0.3">
      <c r="K120"/>
    </row>
    <row r="121" spans="2:11" x14ac:dyDescent="0.3">
      <c r="K121"/>
    </row>
    <row r="122" spans="2:11" x14ac:dyDescent="0.3">
      <c r="B122" s="113"/>
      <c r="K122"/>
    </row>
    <row r="123" spans="2:11" x14ac:dyDescent="0.3">
      <c r="K123"/>
    </row>
    <row r="124" spans="2:11" x14ac:dyDescent="0.3">
      <c r="K124"/>
    </row>
    <row r="125" spans="2:11" x14ac:dyDescent="0.3">
      <c r="B125" s="114"/>
      <c r="K125"/>
    </row>
    <row r="126" spans="2:11" x14ac:dyDescent="0.3">
      <c r="B126" s="114"/>
      <c r="K126"/>
    </row>
    <row r="127" spans="2:11" x14ac:dyDescent="0.3">
      <c r="B127" s="114"/>
      <c r="K127"/>
    </row>
    <row r="128" spans="2:11" x14ac:dyDescent="0.3">
      <c r="K128"/>
    </row>
    <row r="129" spans="2:11" x14ac:dyDescent="0.3">
      <c r="B129" s="113"/>
      <c r="K129"/>
    </row>
    <row r="130" spans="2:11" x14ac:dyDescent="0.3">
      <c r="K130"/>
    </row>
    <row r="131" spans="2:11" x14ac:dyDescent="0.3">
      <c r="K131"/>
    </row>
    <row r="132" spans="2:11" x14ac:dyDescent="0.3">
      <c r="B132" s="114"/>
      <c r="K132"/>
    </row>
    <row r="133" spans="2:11" x14ac:dyDescent="0.3">
      <c r="B133" s="114"/>
      <c r="K133"/>
    </row>
    <row r="134" spans="2:11" x14ac:dyDescent="0.3">
      <c r="B134" s="114"/>
      <c r="K134"/>
    </row>
    <row r="135" spans="2:11" x14ac:dyDescent="0.3">
      <c r="B135" s="114"/>
      <c r="K135"/>
    </row>
    <row r="136" spans="2:11" x14ac:dyDescent="0.3">
      <c r="K136"/>
    </row>
    <row r="137" spans="2:11" x14ac:dyDescent="0.3">
      <c r="K137"/>
    </row>
    <row r="138" spans="2:11" x14ac:dyDescent="0.3">
      <c r="B138" s="113"/>
      <c r="K138"/>
    </row>
    <row r="139" spans="2:11" x14ac:dyDescent="0.3">
      <c r="K139"/>
    </row>
    <row r="140" spans="2:11" x14ac:dyDescent="0.3">
      <c r="K140"/>
    </row>
    <row r="141" spans="2:11" x14ac:dyDescent="0.3">
      <c r="K141"/>
    </row>
    <row r="142" spans="2:11" x14ac:dyDescent="0.3">
      <c r="K142"/>
    </row>
    <row r="143" spans="2:11" x14ac:dyDescent="0.3">
      <c r="K143"/>
    </row>
    <row r="144" spans="2:11" x14ac:dyDescent="0.3">
      <c r="B144"/>
      <c r="K144"/>
    </row>
    <row r="145" spans="2:2" x14ac:dyDescent="0.3">
      <c r="B145" s="113"/>
    </row>
    <row r="150" spans="2:2" x14ac:dyDescent="0.3">
      <c r="B150" s="112"/>
    </row>
  </sheetData>
  <mergeCells count="8">
    <mergeCell ref="K14:N14"/>
    <mergeCell ref="B5:D5"/>
    <mergeCell ref="B13:N13"/>
    <mergeCell ref="B12:N12"/>
    <mergeCell ref="J5:M5"/>
    <mergeCell ref="J6:M6"/>
    <mergeCell ref="J9:M9"/>
    <mergeCell ref="J8:N8"/>
  </mergeCells>
  <hyperlinks>
    <hyperlink ref="B5" r:id="rId1" xr:uid="{AAF264D4-6E13-48F2-8F83-232C58CA46B8}"/>
    <hyperlink ref="J8" r:id="rId2" xr:uid="{B82B77D1-FE23-4C6D-9C85-492DFAC1A44D}"/>
    <hyperlink ref="J5:M5" r:id="rId3" display="Visit this Model's Webpage" xr:uid="{904F0884-B6BB-43F8-BD06-15895666FED0}"/>
    <hyperlink ref="J6:M6" r:id="rId4" display="View other Debt Models" xr:uid="{92D853F8-1137-49E8-94A8-691A3104F1A9}"/>
    <hyperlink ref="B13:N13" r:id="rId5" display="https://www.adventuresincre.shop/accelerator/" xr:uid="{503E2141-B43F-45D1-9DD0-74A1C86F89C2}"/>
    <hyperlink ref="K14" r:id="rId6" xr:uid="{BB9FDD77-EFFF-471F-8ABA-715FC96F8F5A}"/>
  </hyperlinks>
  <pageMargins left="0.7" right="0.7" top="0.75" bottom="0.75" header="0.3" footer="0.3"/>
  <pageSetup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pageSetUpPr fitToPage="1"/>
  </sheetPr>
  <dimension ref="A1:I43"/>
  <sheetViews>
    <sheetView showGridLines="0" zoomScale="85" zoomScaleNormal="85" workbookViewId="0"/>
  </sheetViews>
  <sheetFormatPr defaultColWidth="0" defaultRowHeight="14.25" zeroHeight="1" x14ac:dyDescent="0.2"/>
  <cols>
    <col min="1" max="1" width="0.875" style="1" customWidth="1"/>
    <col min="2" max="2" width="20.75" style="1" customWidth="1"/>
    <col min="3" max="3" width="15.75" style="1" customWidth="1"/>
    <col min="4" max="4" width="17" style="7" customWidth="1"/>
    <col min="5" max="5" width="1.25" style="1" customWidth="1"/>
    <col min="6" max="6" width="20.75" style="1" customWidth="1"/>
    <col min="7" max="7" width="15.75" style="1" customWidth="1"/>
    <col min="8" max="8" width="17" style="7" customWidth="1"/>
    <col min="9" max="9" width="0.875" style="1" customWidth="1"/>
    <col min="10" max="16384" width="8.875" style="1" hidden="1"/>
  </cols>
  <sheetData>
    <row r="1" spans="2:8" ht="5.0999999999999996" customHeight="1" x14ac:dyDescent="0.2"/>
    <row r="2" spans="2:8" s="3" customFormat="1" ht="18" x14ac:dyDescent="0.25">
      <c r="B2" s="21" t="s">
        <v>104</v>
      </c>
      <c r="C2" s="2"/>
      <c r="D2" s="4"/>
      <c r="E2" s="2"/>
      <c r="F2" s="2"/>
      <c r="G2" s="2"/>
      <c r="H2" s="4"/>
    </row>
    <row r="3" spans="2:8" s="3" customFormat="1" x14ac:dyDescent="0.2">
      <c r="B3" s="2" t="str">
        <f>UPPER(Inv_Name)</f>
        <v>[INVESTMENT NAME]</v>
      </c>
      <c r="C3" s="2"/>
      <c r="D3" s="4"/>
      <c r="E3" s="2"/>
      <c r="F3" s="2"/>
      <c r="G3" s="2"/>
      <c r="H3" s="4" t="str">
        <f>Inv_Number</f>
        <v>[12345]</v>
      </c>
    </row>
    <row r="4" spans="2:8" x14ac:dyDescent="0.2">
      <c r="B4" s="6" t="s">
        <v>73</v>
      </c>
      <c r="C4" s="6"/>
      <c r="D4" s="8"/>
      <c r="E4" s="6"/>
      <c r="F4" s="6"/>
      <c r="G4" s="6"/>
      <c r="H4" s="8"/>
    </row>
    <row r="5" spans="2:8" x14ac:dyDescent="0.2">
      <c r="B5" s="1" t="s">
        <v>1</v>
      </c>
      <c r="D5" s="9" t="s">
        <v>122</v>
      </c>
      <c r="F5" s="1" t="s">
        <v>2</v>
      </c>
      <c r="H5" s="9" t="s">
        <v>8</v>
      </c>
    </row>
    <row r="6" spans="2:8" x14ac:dyDescent="0.2">
      <c r="B6" s="1" t="s">
        <v>3</v>
      </c>
      <c r="D6" s="9" t="s">
        <v>9</v>
      </c>
      <c r="F6" s="1" t="s">
        <v>4</v>
      </c>
      <c r="H6" s="9" t="s">
        <v>7</v>
      </c>
    </row>
    <row r="7" spans="2:8" x14ac:dyDescent="0.2">
      <c r="B7" s="1" t="s">
        <v>5</v>
      </c>
      <c r="D7" s="9" t="s">
        <v>10</v>
      </c>
      <c r="F7" s="1" t="s">
        <v>6</v>
      </c>
      <c r="H7" s="9" t="s">
        <v>16</v>
      </c>
    </row>
    <row r="8" spans="2:8" ht="5.0999999999999996" customHeight="1" x14ac:dyDescent="0.2"/>
    <row r="9" spans="2:8" x14ac:dyDescent="0.2">
      <c r="B9" s="1" t="s">
        <v>11</v>
      </c>
      <c r="D9" s="9" t="s">
        <v>12</v>
      </c>
      <c r="F9" s="1" t="str">
        <f>Unit_Type_Plural</f>
        <v>Units</v>
      </c>
      <c r="H9" s="10">
        <v>99</v>
      </c>
    </row>
    <row r="10" spans="2:8" x14ac:dyDescent="0.2">
      <c r="B10" s="1" t="s">
        <v>14</v>
      </c>
      <c r="D10" s="9" t="s">
        <v>15</v>
      </c>
      <c r="F10" s="1" t="s">
        <v>13</v>
      </c>
      <c r="H10" s="10">
        <v>99999</v>
      </c>
    </row>
    <row r="11" spans="2:8" ht="5.0999999999999996" customHeight="1" x14ac:dyDescent="0.2">
      <c r="D11" s="9"/>
      <c r="H11" s="10"/>
    </row>
    <row r="12" spans="2:8" x14ac:dyDescent="0.2">
      <c r="D12" s="9"/>
      <c r="F12" s="1" t="s">
        <v>74</v>
      </c>
      <c r="H12" s="10" t="s">
        <v>76</v>
      </c>
    </row>
    <row r="13" spans="2:8" ht="5.0999999999999996" customHeight="1" x14ac:dyDescent="0.2">
      <c r="D13" s="9"/>
      <c r="H13" s="10"/>
    </row>
    <row r="14" spans="2:8" x14ac:dyDescent="0.2">
      <c r="B14" s="6" t="s">
        <v>123</v>
      </c>
      <c r="C14" s="32" t="str">
        <f>"/"&amp;Unit_Type_Singular</f>
        <v>/Unit</v>
      </c>
      <c r="D14" s="33"/>
      <c r="E14" s="6"/>
      <c r="F14" s="6" t="s">
        <v>124</v>
      </c>
      <c r="G14" s="32"/>
      <c r="H14" s="33"/>
    </row>
    <row r="15" spans="2:8" x14ac:dyDescent="0.2">
      <c r="B15" s="1" t="str">
        <f>'Loan Terms'!B5</f>
        <v>Underwritten NOI</v>
      </c>
      <c r="D15" s="82">
        <f>+'Loan Terms'!H5</f>
        <v>674310.06</v>
      </c>
      <c r="F15" s="1" t="s">
        <v>34</v>
      </c>
      <c r="H15" s="20">
        <f>'Pro Forma'!Q17</f>
        <v>1189998</v>
      </c>
    </row>
    <row r="16" spans="2:8" ht="16.5" x14ac:dyDescent="0.35">
      <c r="B16" s="23" t="str">
        <f>'Loan Terms'!B6</f>
        <v>Underwritten Cap Rate</v>
      </c>
      <c r="C16" s="7"/>
      <c r="D16" s="85">
        <f>+'Loan Terms'!H6</f>
        <v>5.5E-2</v>
      </c>
      <c r="F16" s="23" t="s">
        <v>168</v>
      </c>
      <c r="H16" s="87">
        <f>+'Pro Forma'!Q32</f>
        <v>515687.94</v>
      </c>
    </row>
    <row r="17" spans="2:8" x14ac:dyDescent="0.2">
      <c r="B17" s="1" t="str">
        <f>'Loan Terms'!B7</f>
        <v>Underwritten Value</v>
      </c>
      <c r="C17" s="14">
        <f>+D17/$H$9</f>
        <v>123840.23140495869</v>
      </c>
      <c r="D17" s="20">
        <f>+'Loan Terms'!H7</f>
        <v>12260182.90909091</v>
      </c>
      <c r="F17" s="1" t="s">
        <v>51</v>
      </c>
      <c r="H17" s="20">
        <f>+NOI</f>
        <v>674310.06</v>
      </c>
    </row>
    <row r="18" spans="2:8" ht="5.0999999999999996" customHeight="1" x14ac:dyDescent="0.2">
      <c r="C18" s="14"/>
      <c r="D18" s="20"/>
      <c r="H18" s="10"/>
    </row>
    <row r="19" spans="2:8" x14ac:dyDescent="0.2">
      <c r="B19" s="6" t="s">
        <v>105</v>
      </c>
      <c r="C19" s="32" t="str">
        <f>"/"&amp;Unit_Type_Singular</f>
        <v>/Unit</v>
      </c>
      <c r="D19" s="33"/>
      <c r="E19" s="6"/>
      <c r="F19" s="6" t="s">
        <v>107</v>
      </c>
      <c r="G19" s="32"/>
      <c r="H19" s="33"/>
    </row>
    <row r="20" spans="2:8" x14ac:dyDescent="0.2">
      <c r="B20" s="1" t="s">
        <v>106</v>
      </c>
      <c r="C20" s="14">
        <f>+D20/$H$9</f>
        <v>61639.934183463607</v>
      </c>
      <c r="D20" s="20">
        <f>'Loan Terms'!H26</f>
        <v>6102353.4841628969</v>
      </c>
      <c r="F20" s="1" t="s">
        <v>99</v>
      </c>
      <c r="H20" s="20">
        <f>'Loan Terms'!H19</f>
        <v>38571.025053902427</v>
      </c>
    </row>
    <row r="21" spans="2:8" x14ac:dyDescent="0.2">
      <c r="B21" s="1" t="s">
        <v>87</v>
      </c>
      <c r="D21" s="83">
        <f>+'Loan Terms'!H9</f>
        <v>10</v>
      </c>
      <c r="F21" s="1" t="s">
        <v>98</v>
      </c>
      <c r="H21" s="20">
        <f>'Loan Terms'!H20</f>
        <v>33054.414705882358</v>
      </c>
    </row>
    <row r="22" spans="2:8" x14ac:dyDescent="0.2">
      <c r="B22" s="1" t="s">
        <v>88</v>
      </c>
      <c r="D22" s="83">
        <f>'Loan Terms'!H10</f>
        <v>5</v>
      </c>
      <c r="F22" s="1" t="s">
        <v>102</v>
      </c>
      <c r="H22" s="84">
        <f>'Loan Terms'!H27</f>
        <v>1.4568579632372183</v>
      </c>
    </row>
    <row r="23" spans="2:8" x14ac:dyDescent="0.2">
      <c r="B23" s="1" t="s">
        <v>89</v>
      </c>
      <c r="D23" s="83">
        <f>'Loan Terms'!H11</f>
        <v>30</v>
      </c>
      <c r="F23" s="1" t="s">
        <v>103</v>
      </c>
      <c r="H23" s="84">
        <f>'Loan Terms'!H28</f>
        <v>1.7</v>
      </c>
    </row>
    <row r="24" spans="2:8" x14ac:dyDescent="0.2">
      <c r="B24" s="1" t="s">
        <v>90</v>
      </c>
      <c r="D24" s="81">
        <f>'Loan Terms'!H17</f>
        <v>6.5000000000000002E-2</v>
      </c>
      <c r="F24" s="1" t="s">
        <v>96</v>
      </c>
      <c r="H24" s="81">
        <f>'Loan Terms'!H29</f>
        <v>0.11049999999999999</v>
      </c>
    </row>
    <row r="25" spans="2:8" x14ac:dyDescent="0.2">
      <c r="B25" s="1" t="s">
        <v>171</v>
      </c>
      <c r="C25" s="14">
        <f>+D25/$H$9</f>
        <v>57028.43742625061</v>
      </c>
      <c r="D25" s="86">
        <f>PV(D24,D23-D21+D22,-H20*12)</f>
        <v>5645815.3051988101</v>
      </c>
      <c r="F25" s="1" t="s">
        <v>79</v>
      </c>
      <c r="H25" s="81">
        <f>'Loan Terms'!H30</f>
        <v>0.49773755656108598</v>
      </c>
    </row>
    <row r="26" spans="2:8" x14ac:dyDescent="0.2">
      <c r="B26" s="1" t="s">
        <v>214</v>
      </c>
      <c r="C26" s="14"/>
      <c r="D26" s="182">
        <f>Amortization!Q5</f>
        <v>9.8515475155602843</v>
      </c>
      <c r="F26" s="1" t="s">
        <v>191</v>
      </c>
      <c r="H26" s="81">
        <f>'Loan Terms'!H23</f>
        <v>6.6387264153015657E-2</v>
      </c>
    </row>
    <row r="27" spans="2:8" ht="5.0999999999999996" customHeight="1" x14ac:dyDescent="0.2">
      <c r="D27" s="9"/>
      <c r="H27" s="81"/>
    </row>
    <row r="28" spans="2:8" x14ac:dyDescent="0.2">
      <c r="B28" s="6" t="s">
        <v>17</v>
      </c>
      <c r="C28" s="32" t="s">
        <v>80</v>
      </c>
      <c r="D28" s="33" t="s">
        <v>49</v>
      </c>
      <c r="E28" s="6"/>
      <c r="F28" s="6" t="s">
        <v>18</v>
      </c>
      <c r="G28" s="32" t="str">
        <f>"/"&amp;Unit_Type_Singular</f>
        <v>/Unit</v>
      </c>
      <c r="H28" s="33" t="s">
        <v>49</v>
      </c>
    </row>
    <row r="29" spans="2:8" x14ac:dyDescent="0.2">
      <c r="B29" s="23" t="s">
        <v>19</v>
      </c>
      <c r="C29" s="16">
        <f>D29/Value</f>
        <v>0.49773755656108598</v>
      </c>
      <c r="D29" s="86">
        <f>D20</f>
        <v>6102353.4841628969</v>
      </c>
      <c r="F29" s="72" t="str">
        <f>IF(H12="Acquisition","Purchase Price","Loan Payoff")</f>
        <v>Loan Payoff</v>
      </c>
      <c r="G29" s="14">
        <f>+H29/$H$9</f>
        <v>101010.09090909091</v>
      </c>
      <c r="H29" s="13">
        <v>9999999</v>
      </c>
    </row>
    <row r="30" spans="2:8" ht="16.5" x14ac:dyDescent="0.35">
      <c r="B30" s="23" t="str">
        <f>IF(D30&lt;0,"Equity Cash-Out","Equity Proceeds")</f>
        <v>Equity Proceeds</v>
      </c>
      <c r="C30" s="16"/>
      <c r="D30" s="19">
        <f>+H32-D29</f>
        <v>4007643.5158371031</v>
      </c>
      <c r="F30" s="73" t="s">
        <v>20</v>
      </c>
      <c r="G30" s="14">
        <f>+H30/$H$9</f>
        <v>1010.0909090909091</v>
      </c>
      <c r="H30" s="13">
        <v>99999</v>
      </c>
    </row>
    <row r="31" spans="2:8" ht="16.5" x14ac:dyDescent="0.35">
      <c r="B31" s="1" t="s">
        <v>81</v>
      </c>
      <c r="D31" s="12">
        <f>SUM(D29:D30)</f>
        <v>10109997</v>
      </c>
      <c r="F31" s="73" t="s">
        <v>21</v>
      </c>
      <c r="G31" s="31">
        <f>+H31/$H$9</f>
        <v>101</v>
      </c>
      <c r="H31" s="17">
        <v>9999</v>
      </c>
    </row>
    <row r="32" spans="2:8" x14ac:dyDescent="0.2">
      <c r="F32" s="1" t="s">
        <v>82</v>
      </c>
      <c r="G32" s="14">
        <f>+H32/$H$9</f>
        <v>102121.18181818182</v>
      </c>
      <c r="H32" s="12">
        <f>SUM(H29:H31)</f>
        <v>10109997</v>
      </c>
    </row>
    <row r="33" spans="2:8" ht="5.0999999999999996" customHeight="1" x14ac:dyDescent="0.2"/>
    <row r="34" spans="2:8" x14ac:dyDescent="0.2">
      <c r="B34" s="6" t="s">
        <v>22</v>
      </c>
      <c r="C34" s="6"/>
      <c r="D34" s="8"/>
      <c r="E34" s="6"/>
      <c r="F34" s="6"/>
      <c r="G34" s="6"/>
      <c r="H34" s="8"/>
    </row>
    <row r="35" spans="2:8" x14ac:dyDescent="0.2">
      <c r="B35" s="22" t="s">
        <v>23</v>
      </c>
    </row>
    <row r="36" spans="2:8" x14ac:dyDescent="0.2">
      <c r="B36" s="22" t="s">
        <v>23</v>
      </c>
    </row>
    <row r="37" spans="2:8" x14ac:dyDescent="0.2">
      <c r="B37" s="22" t="s">
        <v>23</v>
      </c>
    </row>
    <row r="38" spans="2:8" x14ac:dyDescent="0.2">
      <c r="B38" s="22" t="s">
        <v>23</v>
      </c>
    </row>
    <row r="39" spans="2:8" x14ac:dyDescent="0.2">
      <c r="B39" s="22" t="s">
        <v>23</v>
      </c>
    </row>
    <row r="40" spans="2:8" x14ac:dyDescent="0.2">
      <c r="B40" s="22" t="s">
        <v>23</v>
      </c>
    </row>
    <row r="41" spans="2:8" x14ac:dyDescent="0.2">
      <c r="B41" s="22" t="s">
        <v>23</v>
      </c>
    </row>
    <row r="42" spans="2:8" x14ac:dyDescent="0.2">
      <c r="B42" s="22" t="s">
        <v>23</v>
      </c>
    </row>
    <row r="43" spans="2:8" x14ac:dyDescent="0.2"/>
  </sheetData>
  <dataValidations count="2">
    <dataValidation type="list" allowBlank="1" showInputMessage="1" showErrorMessage="1" sqref="D9" xr:uid="{D7B60675-78EC-47DD-89E0-B2E133C26ED3}">
      <formula1>List_Property_Type</formula1>
    </dataValidation>
    <dataValidation type="list" allowBlank="1" showInputMessage="1" showErrorMessage="1" sqref="H12:H13" xr:uid="{1732D874-9269-4722-991C-6967F46036B9}">
      <formula1>List_Loan_Type</formula1>
    </dataValidation>
  </dataValidations>
  <printOptions horizontalCentered="1"/>
  <pageMargins left="0.7" right="0.7" top="0.75" bottom="0.75" header="0.3" footer="0.3"/>
  <pageSetup scale="75" orientation="portrait" horizontalDpi="4294967294" r:id="rId1"/>
  <headerFooter>
    <oddFooter>&amp;CPAGE &amp;P OF &amp;N - LOAN SUMMARY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80C7F-1297-4674-8D0A-92E6C9142539}">
  <sheetPr>
    <tabColor theme="4" tint="0.79998168889431442"/>
    <pageSetUpPr fitToPage="1"/>
  </sheetPr>
  <dimension ref="A1:W38"/>
  <sheetViews>
    <sheetView showGridLines="0" zoomScale="85" zoomScaleNormal="85" workbookViewId="0"/>
  </sheetViews>
  <sheetFormatPr defaultColWidth="0" defaultRowHeight="14.25" zeroHeight="1" x14ac:dyDescent="0.2"/>
  <cols>
    <col min="1" max="1" width="0.875" style="1" customWidth="1"/>
    <col min="2" max="4" width="8.875" style="1" customWidth="1"/>
    <col min="5" max="5" width="7.5" style="50" bestFit="1" customWidth="1"/>
    <col min="6" max="6" width="6.625" style="55" bestFit="1" customWidth="1"/>
    <col min="7" max="7" width="9.375" style="50" bestFit="1" customWidth="1"/>
    <col min="8" max="8" width="7.5" style="50" bestFit="1" customWidth="1"/>
    <col min="9" max="9" width="6.625" style="55" bestFit="1" customWidth="1"/>
    <col min="10" max="10" width="9.375" style="50" bestFit="1" customWidth="1"/>
    <col min="11" max="11" width="7.5" style="50" bestFit="1" customWidth="1"/>
    <col min="12" max="12" width="6.625" style="55" bestFit="1" customWidth="1"/>
    <col min="13" max="13" width="9.375" style="50" bestFit="1" customWidth="1"/>
    <col min="14" max="14" width="2.125" style="50" customWidth="1"/>
    <col min="15" max="15" width="7.5" style="50" bestFit="1" customWidth="1"/>
    <col min="16" max="16" width="7.5" style="55" bestFit="1" customWidth="1"/>
    <col min="17" max="17" width="10.75" style="14" bestFit="1" customWidth="1"/>
    <col min="18" max="18" width="10.75" style="24" customWidth="1"/>
    <col min="19" max="21" width="10.75" style="14" customWidth="1"/>
    <col min="22" max="22" width="8.875" style="1" customWidth="1"/>
    <col min="23" max="23" width="0.875" style="1" customWidth="1"/>
    <col min="24" max="16384" width="8.875" style="1" hidden="1"/>
  </cols>
  <sheetData>
    <row r="1" spans="2:22" ht="5.0999999999999996" customHeight="1" x14ac:dyDescent="0.2">
      <c r="F1" s="50"/>
      <c r="I1" s="50"/>
      <c r="L1" s="50"/>
      <c r="P1" s="50"/>
      <c r="Q1" s="1"/>
      <c r="R1" s="18"/>
      <c r="S1" s="1"/>
      <c r="T1" s="1"/>
      <c r="U1" s="1"/>
    </row>
    <row r="2" spans="2:22" s="3" customFormat="1" ht="18" x14ac:dyDescent="0.25">
      <c r="B2" s="21" t="s">
        <v>0</v>
      </c>
      <c r="C2" s="2"/>
      <c r="D2" s="2"/>
      <c r="E2" s="51"/>
      <c r="F2" s="51"/>
      <c r="G2" s="51"/>
      <c r="H2" s="51"/>
      <c r="I2" s="51"/>
      <c r="J2" s="51"/>
      <c r="K2" s="51"/>
      <c r="L2" s="51"/>
      <c r="M2" s="51"/>
      <c r="N2" s="51"/>
      <c r="O2" s="51"/>
      <c r="P2" s="51"/>
      <c r="Q2" s="2"/>
      <c r="R2" s="39"/>
      <c r="S2" s="2"/>
      <c r="T2" s="2"/>
      <c r="U2" s="2"/>
      <c r="V2" s="2"/>
    </row>
    <row r="3" spans="2:22" s="3" customFormat="1" x14ac:dyDescent="0.2">
      <c r="B3" s="2" t="str">
        <f>UPPER(Inv_Name)</f>
        <v>[INVESTMENT NAME]</v>
      </c>
      <c r="C3" s="2"/>
      <c r="D3" s="4"/>
      <c r="E3" s="51"/>
      <c r="F3" s="52"/>
      <c r="G3" s="51"/>
      <c r="H3" s="51"/>
      <c r="I3" s="52"/>
      <c r="J3" s="51"/>
      <c r="K3" s="51"/>
      <c r="L3" s="52"/>
      <c r="M3" s="51"/>
      <c r="N3" s="51"/>
      <c r="O3" s="51"/>
      <c r="P3" s="52"/>
      <c r="Q3" s="4"/>
      <c r="R3" s="5"/>
      <c r="S3" s="4"/>
      <c r="T3" s="4"/>
      <c r="U3" s="4"/>
      <c r="V3" s="4" t="str">
        <f>Inv_Number</f>
        <v>[12345]</v>
      </c>
    </row>
    <row r="4" spans="2:22" s="3" customFormat="1" x14ac:dyDescent="0.2">
      <c r="B4" s="38" t="str">
        <f>Unit_Type_Singular&amp;": "&amp;Units_NRA</f>
        <v>Unit: 99</v>
      </c>
      <c r="C4" s="34"/>
      <c r="D4" s="35"/>
      <c r="E4" s="53"/>
      <c r="F4" s="54" t="str">
        <f>"/"&amp;Unit_Type_Singular</f>
        <v>/Unit</v>
      </c>
      <c r="G4" s="223">
        <f ca="1">J4-1</f>
        <v>2021</v>
      </c>
      <c r="H4" s="53"/>
      <c r="I4" s="54" t="str">
        <f>"/"&amp;Unit_Type_Singular</f>
        <v>/Unit</v>
      </c>
      <c r="J4" s="223">
        <f ca="1">YEAR(TODAY())-1</f>
        <v>2022</v>
      </c>
      <c r="K4" s="53"/>
      <c r="L4" s="54" t="str">
        <f>"/"&amp;Unit_Type_Singular</f>
        <v>/Unit</v>
      </c>
      <c r="M4" s="223" t="s">
        <v>204</v>
      </c>
      <c r="N4" s="36"/>
      <c r="O4" s="53"/>
      <c r="P4" s="54" t="str">
        <f>"/"&amp;Unit_Type_Singular</f>
        <v>/Unit</v>
      </c>
      <c r="Q4" s="36" t="s">
        <v>50</v>
      </c>
      <c r="R4" s="37" t="s">
        <v>205</v>
      </c>
      <c r="S4" s="36"/>
      <c r="T4" s="36"/>
      <c r="U4" s="36"/>
      <c r="V4" s="36"/>
    </row>
    <row r="5" spans="2:22" x14ac:dyDescent="0.2">
      <c r="B5" s="1" t="s">
        <v>24</v>
      </c>
      <c r="E5" s="183" t="s">
        <v>53</v>
      </c>
      <c r="F5" s="184">
        <f>+G5/Units_NRA</f>
        <v>10101</v>
      </c>
      <c r="G5" s="185">
        <v>999999</v>
      </c>
      <c r="H5" s="183" t="s">
        <v>53</v>
      </c>
      <c r="I5" s="184">
        <f>+J5/Units_NRA</f>
        <v>10101</v>
      </c>
      <c r="J5" s="185">
        <v>999999</v>
      </c>
      <c r="K5" s="183" t="s">
        <v>53</v>
      </c>
      <c r="L5" s="184">
        <f>+M5/Units_NRA</f>
        <v>10101</v>
      </c>
      <c r="M5" s="185">
        <v>999999</v>
      </c>
      <c r="N5" s="24"/>
      <c r="O5" s="62" t="s">
        <v>53</v>
      </c>
      <c r="P5" s="55">
        <f>+Q5/Units_NRA</f>
        <v>10101</v>
      </c>
      <c r="Q5" s="24">
        <v>999999</v>
      </c>
      <c r="R5" s="40" t="s">
        <v>52</v>
      </c>
      <c r="S5" s="41"/>
      <c r="T5" s="41"/>
      <c r="U5" s="41"/>
      <c r="V5" s="42"/>
    </row>
    <row r="6" spans="2:22" x14ac:dyDescent="0.2">
      <c r="B6" s="23" t="s">
        <v>25</v>
      </c>
      <c r="E6" s="186">
        <f>+-G6/$M$5</f>
        <v>9.9999099999100005E-2</v>
      </c>
      <c r="F6" s="184">
        <f>+G6/Units_NRA</f>
        <v>-1010.0909090909091</v>
      </c>
      <c r="G6" s="185">
        <v>-99999</v>
      </c>
      <c r="H6" s="186">
        <f>+-J6/$M$5</f>
        <v>9.9999099999100005E-2</v>
      </c>
      <c r="I6" s="184">
        <f>+J6/Units_NRA</f>
        <v>-1010.0909090909091</v>
      </c>
      <c r="J6" s="185">
        <v>-99999</v>
      </c>
      <c r="K6" s="186">
        <f>+-M6/$M$5</f>
        <v>9.9999099999100005E-2</v>
      </c>
      <c r="L6" s="184">
        <f>+M6/Units_NRA</f>
        <v>-1010.0909090909091</v>
      </c>
      <c r="M6" s="185">
        <v>-99999</v>
      </c>
      <c r="N6" s="24"/>
      <c r="O6" s="56">
        <f>+-Q6/$Q$5</f>
        <v>9.9999099999100005E-2</v>
      </c>
      <c r="P6" s="55">
        <f>+Q6/Units_NRA</f>
        <v>-1010.0909090909091</v>
      </c>
      <c r="Q6" s="24">
        <v>-99999</v>
      </c>
      <c r="R6" s="40"/>
      <c r="S6" s="41"/>
      <c r="T6" s="41"/>
      <c r="U6" s="41"/>
      <c r="V6" s="42"/>
    </row>
    <row r="7" spans="2:22" x14ac:dyDescent="0.2">
      <c r="B7" s="23" t="s">
        <v>26</v>
      </c>
      <c r="E7" s="186">
        <f t="shared" ref="E7:E8" si="0">+-G7/$M$5</f>
        <v>9.9990099990099994E-3</v>
      </c>
      <c r="F7" s="184">
        <f>+G7/Units_NRA</f>
        <v>-101</v>
      </c>
      <c r="G7" s="185">
        <v>-9999</v>
      </c>
      <c r="H7" s="186">
        <f t="shared" ref="H7:H8" si="1">+-J7/$M$5</f>
        <v>9.9990099990099994E-3</v>
      </c>
      <c r="I7" s="184">
        <f>+J7/Units_NRA</f>
        <v>-101</v>
      </c>
      <c r="J7" s="185">
        <v>-9999</v>
      </c>
      <c r="K7" s="186">
        <f t="shared" ref="K7:K8" si="2">+-M7/$M$5</f>
        <v>9.9990099990099994E-3</v>
      </c>
      <c r="L7" s="184">
        <f>+M7/Units_NRA</f>
        <v>-101</v>
      </c>
      <c r="M7" s="185">
        <v>-9999</v>
      </c>
      <c r="N7" s="24"/>
      <c r="O7" s="56">
        <f>+-Q7/$Q$5</f>
        <v>9.9990099990099994E-3</v>
      </c>
      <c r="P7" s="55">
        <f>+Q7/Units_NRA</f>
        <v>-101</v>
      </c>
      <c r="Q7" s="24">
        <v>-9999</v>
      </c>
      <c r="R7" s="40"/>
      <c r="S7" s="41"/>
      <c r="T7" s="41"/>
      <c r="U7" s="41"/>
      <c r="V7" s="42"/>
    </row>
    <row r="8" spans="2:22" ht="16.5" x14ac:dyDescent="0.35">
      <c r="B8" s="23" t="s">
        <v>27</v>
      </c>
      <c r="E8" s="186">
        <f t="shared" si="0"/>
        <v>9.9990099990099994E-3</v>
      </c>
      <c r="F8" s="187">
        <f>+G8/Units_NRA</f>
        <v>-101</v>
      </c>
      <c r="G8" s="188">
        <v>-9999</v>
      </c>
      <c r="H8" s="186">
        <f t="shared" si="1"/>
        <v>9.9990099990099994E-3</v>
      </c>
      <c r="I8" s="187">
        <f>+J8/Units_NRA</f>
        <v>-101</v>
      </c>
      <c r="J8" s="188">
        <v>-9999</v>
      </c>
      <c r="K8" s="186">
        <f t="shared" si="2"/>
        <v>9.9990099990099994E-3</v>
      </c>
      <c r="L8" s="187">
        <f>+M8/Units_NRA</f>
        <v>-101</v>
      </c>
      <c r="M8" s="188">
        <v>-9999</v>
      </c>
      <c r="N8" s="25"/>
      <c r="O8" s="56">
        <f>+-Q8/$Q$5</f>
        <v>9.9990099990099994E-3</v>
      </c>
      <c r="P8" s="57">
        <f>+Q8/Units_NRA</f>
        <v>-101</v>
      </c>
      <c r="Q8" s="25">
        <v>-9999</v>
      </c>
      <c r="R8" s="40"/>
      <c r="S8" s="43"/>
      <c r="T8" s="43"/>
      <c r="U8" s="43"/>
      <c r="V8" s="42"/>
    </row>
    <row r="9" spans="2:22" x14ac:dyDescent="0.2">
      <c r="B9" s="1" t="s">
        <v>28</v>
      </c>
      <c r="E9" s="189"/>
      <c r="F9" s="184">
        <f>SUM(F5:F8)</f>
        <v>8888.9090909090901</v>
      </c>
      <c r="G9" s="190">
        <f>SUM(G5:G8)</f>
        <v>880002</v>
      </c>
      <c r="H9" s="189"/>
      <c r="I9" s="184">
        <f>SUM(I5:I8)</f>
        <v>8888.9090909090901</v>
      </c>
      <c r="J9" s="190">
        <f>SUM(J5:J8)</f>
        <v>880002</v>
      </c>
      <c r="K9" s="189"/>
      <c r="L9" s="184">
        <f>SUM(L5:L8)</f>
        <v>8888.9090909090901</v>
      </c>
      <c r="M9" s="190">
        <f>SUM(M5:M8)</f>
        <v>880002</v>
      </c>
      <c r="N9" s="14"/>
      <c r="P9" s="55">
        <f>SUM(P5:P8)</f>
        <v>8888.9090909090901</v>
      </c>
      <c r="Q9" s="14">
        <f>SUM(Q5:Q8)</f>
        <v>880002</v>
      </c>
      <c r="R9" s="40"/>
      <c r="S9" s="44"/>
      <c r="T9" s="44"/>
      <c r="U9" s="44"/>
      <c r="V9" s="42"/>
    </row>
    <row r="10" spans="2:22" ht="5.0999999999999996" customHeight="1" x14ac:dyDescent="0.2">
      <c r="E10" s="189"/>
      <c r="F10" s="184"/>
      <c r="G10" s="190"/>
      <c r="H10" s="189"/>
      <c r="I10" s="184"/>
      <c r="J10" s="190"/>
      <c r="K10" s="189"/>
      <c r="L10" s="184"/>
      <c r="M10" s="190"/>
      <c r="N10" s="14"/>
      <c r="R10" s="40"/>
      <c r="S10" s="44"/>
      <c r="T10" s="44"/>
      <c r="U10" s="44"/>
      <c r="V10" s="42"/>
    </row>
    <row r="11" spans="2:22" x14ac:dyDescent="0.2">
      <c r="B11" s="23" t="s">
        <v>29</v>
      </c>
      <c r="E11" s="189"/>
      <c r="F11" s="184">
        <f>+G11/Units_NRA</f>
        <v>1010.0909090909091</v>
      </c>
      <c r="G11" s="185">
        <v>99999</v>
      </c>
      <c r="H11" s="189"/>
      <c r="I11" s="184">
        <f>+J11/Units_NRA</f>
        <v>1010.0909090909091</v>
      </c>
      <c r="J11" s="185">
        <v>99999</v>
      </c>
      <c r="K11" s="189"/>
      <c r="L11" s="184">
        <f>+M11/Units_NRA</f>
        <v>1010.0909090909091</v>
      </c>
      <c r="M11" s="185">
        <v>99999</v>
      </c>
      <c r="N11" s="24"/>
      <c r="P11" s="55">
        <f>+Q11/Units_NRA</f>
        <v>1010.0909090909091</v>
      </c>
      <c r="Q11" s="24">
        <v>99999</v>
      </c>
      <c r="R11" s="45"/>
      <c r="S11" s="41"/>
      <c r="T11" s="41"/>
      <c r="U11" s="41"/>
      <c r="V11" s="42"/>
    </row>
    <row r="12" spans="2:22" x14ac:dyDescent="0.2">
      <c r="B12" s="23" t="s">
        <v>30</v>
      </c>
      <c r="E12" s="189"/>
      <c r="F12" s="184">
        <f>+G12/Units_NRA</f>
        <v>1010.0909090909091</v>
      </c>
      <c r="G12" s="185">
        <v>99999</v>
      </c>
      <c r="H12" s="189"/>
      <c r="I12" s="184">
        <f>+J12/Units_NRA</f>
        <v>1010.0909090909091</v>
      </c>
      <c r="J12" s="185">
        <v>99999</v>
      </c>
      <c r="K12" s="189"/>
      <c r="L12" s="184">
        <f>+M12/Units_NRA</f>
        <v>1010.0909090909091</v>
      </c>
      <c r="M12" s="185">
        <v>99999</v>
      </c>
      <c r="N12" s="24"/>
      <c r="P12" s="55">
        <f>+Q12/Units_NRA</f>
        <v>1010.0909090909091</v>
      </c>
      <c r="Q12" s="24">
        <v>99999</v>
      </c>
      <c r="R12" s="40"/>
      <c r="S12" s="41"/>
      <c r="T12" s="41"/>
      <c r="U12" s="41"/>
      <c r="V12" s="42"/>
    </row>
    <row r="13" spans="2:22" x14ac:dyDescent="0.2">
      <c r="B13" s="23" t="s">
        <v>31</v>
      </c>
      <c r="E13" s="189"/>
      <c r="F13" s="184">
        <f>+G13/Units_NRA</f>
        <v>101</v>
      </c>
      <c r="G13" s="185">
        <v>9999</v>
      </c>
      <c r="H13" s="189"/>
      <c r="I13" s="184">
        <f>+J13/Units_NRA</f>
        <v>101</v>
      </c>
      <c r="J13" s="185">
        <v>9999</v>
      </c>
      <c r="K13" s="189"/>
      <c r="L13" s="184">
        <f>+M13/Units_NRA</f>
        <v>101</v>
      </c>
      <c r="M13" s="185">
        <v>9999</v>
      </c>
      <c r="N13" s="24"/>
      <c r="P13" s="55">
        <f>+Q13/Units_NRA</f>
        <v>101</v>
      </c>
      <c r="Q13" s="24">
        <v>9999</v>
      </c>
      <c r="R13" s="40"/>
      <c r="S13" s="41"/>
      <c r="T13" s="41"/>
      <c r="U13" s="41"/>
      <c r="V13" s="42"/>
    </row>
    <row r="14" spans="2:22" ht="16.5" x14ac:dyDescent="0.35">
      <c r="B14" s="23" t="s">
        <v>32</v>
      </c>
      <c r="E14" s="191">
        <f>+G14/G9</f>
        <v>0.11363496901143406</v>
      </c>
      <c r="F14" s="187">
        <f>+G14/Units_NRA</f>
        <v>1010.0909090909091</v>
      </c>
      <c r="G14" s="188">
        <v>99999</v>
      </c>
      <c r="H14" s="191">
        <f>+J14/J9</f>
        <v>0.11363496901143406</v>
      </c>
      <c r="I14" s="187">
        <f>+J14/Units_NRA</f>
        <v>1010.0909090909091</v>
      </c>
      <c r="J14" s="188">
        <v>99999</v>
      </c>
      <c r="K14" s="191">
        <f>+M14/M9</f>
        <v>0.11363496901143406</v>
      </c>
      <c r="L14" s="187">
        <f>+M14/Units_NRA</f>
        <v>1010.0909090909091</v>
      </c>
      <c r="M14" s="188">
        <v>99999</v>
      </c>
      <c r="N14" s="25"/>
      <c r="O14" s="58">
        <f>+Q14/Q9</f>
        <v>0.11363496901143406</v>
      </c>
      <c r="P14" s="57">
        <f>+Q14/Units_NRA</f>
        <v>1010.0909090909091</v>
      </c>
      <c r="Q14" s="25">
        <v>99999</v>
      </c>
      <c r="R14" s="45"/>
      <c r="S14" s="43"/>
      <c r="T14" s="43"/>
      <c r="U14" s="43"/>
      <c r="V14" s="42"/>
    </row>
    <row r="15" spans="2:22" x14ac:dyDescent="0.2">
      <c r="B15" s="1" t="s">
        <v>33</v>
      </c>
      <c r="E15" s="191"/>
      <c r="F15" s="184">
        <f>SUM(F11:F14)</f>
        <v>3131.272727272727</v>
      </c>
      <c r="G15" s="190">
        <f>SUM(G11:G14)</f>
        <v>309996</v>
      </c>
      <c r="H15" s="191"/>
      <c r="I15" s="184">
        <f>SUM(I11:I14)</f>
        <v>3131.272727272727</v>
      </c>
      <c r="J15" s="190">
        <f>SUM(J11:J14)</f>
        <v>309996</v>
      </c>
      <c r="K15" s="191"/>
      <c r="L15" s="184">
        <f>SUM(L11:L14)</f>
        <v>3131.272727272727</v>
      </c>
      <c r="M15" s="190">
        <f>SUM(M11:M14)</f>
        <v>309996</v>
      </c>
      <c r="N15" s="14"/>
      <c r="O15" s="58"/>
      <c r="P15" s="55">
        <f>SUM(P11:P14)</f>
        <v>3131.272727272727</v>
      </c>
      <c r="Q15" s="14">
        <f>SUM(Q11:Q14)</f>
        <v>309996</v>
      </c>
      <c r="R15" s="40"/>
      <c r="S15" s="44"/>
      <c r="T15" s="44"/>
      <c r="U15" s="44"/>
      <c r="V15" s="42"/>
    </row>
    <row r="16" spans="2:22" ht="5.0999999999999996" customHeight="1" x14ac:dyDescent="0.2">
      <c r="E16" s="189"/>
      <c r="F16" s="184"/>
      <c r="G16" s="190"/>
      <c r="H16" s="189"/>
      <c r="I16" s="184"/>
      <c r="J16" s="190"/>
      <c r="K16" s="189"/>
      <c r="L16" s="184"/>
      <c r="M16" s="190"/>
      <c r="N16" s="14"/>
      <c r="R16" s="40"/>
      <c r="S16" s="44"/>
      <c r="T16" s="44"/>
      <c r="U16" s="44"/>
      <c r="V16" s="42"/>
    </row>
    <row r="17" spans="2:22" x14ac:dyDescent="0.2">
      <c r="B17" s="1" t="s">
        <v>34</v>
      </c>
      <c r="E17" s="189"/>
      <c r="F17" s="184">
        <f>+F15+F9</f>
        <v>12020.181818181816</v>
      </c>
      <c r="G17" s="190">
        <f>+G15+G9</f>
        <v>1189998</v>
      </c>
      <c r="H17" s="189"/>
      <c r="I17" s="184">
        <f>+I15+I9</f>
        <v>12020.181818181816</v>
      </c>
      <c r="J17" s="190">
        <f>+J15+J9</f>
        <v>1189998</v>
      </c>
      <c r="K17" s="189"/>
      <c r="L17" s="184">
        <f>+L15+L9</f>
        <v>12020.181818181816</v>
      </c>
      <c r="M17" s="190">
        <f>+M15+M9</f>
        <v>1189998</v>
      </c>
      <c r="N17" s="14"/>
      <c r="P17" s="55">
        <f>+P15+P9</f>
        <v>12020.181818181816</v>
      </c>
      <c r="Q17" s="14">
        <f>+Q15+Q9</f>
        <v>1189998</v>
      </c>
      <c r="R17" s="40"/>
      <c r="S17" s="44"/>
      <c r="T17" s="44"/>
      <c r="U17" s="44"/>
      <c r="V17" s="42"/>
    </row>
    <row r="18" spans="2:22" ht="5.0999999999999996" customHeight="1" x14ac:dyDescent="0.2">
      <c r="E18" s="189"/>
      <c r="F18" s="184"/>
      <c r="G18" s="190"/>
      <c r="H18" s="189"/>
      <c r="I18" s="184"/>
      <c r="J18" s="190"/>
      <c r="K18" s="189"/>
      <c r="L18" s="184"/>
      <c r="M18" s="190"/>
      <c r="N18" s="14"/>
      <c r="R18" s="40"/>
      <c r="S18" s="44"/>
      <c r="T18" s="44"/>
      <c r="U18" s="44"/>
      <c r="V18" s="42"/>
    </row>
    <row r="19" spans="2:22" x14ac:dyDescent="0.2">
      <c r="B19" s="23" t="s">
        <v>47</v>
      </c>
      <c r="E19" s="189"/>
      <c r="F19" s="184">
        <f t="shared" ref="F19:F31" si="3">+G19/Units_NRA</f>
        <v>101</v>
      </c>
      <c r="G19" s="185">
        <v>9999</v>
      </c>
      <c r="H19" s="189"/>
      <c r="I19" s="184">
        <f t="shared" ref="I19:I31" si="4">+J19/Units_NRA</f>
        <v>101</v>
      </c>
      <c r="J19" s="185">
        <v>9999</v>
      </c>
      <c r="K19" s="189"/>
      <c r="L19" s="184">
        <f t="shared" ref="L19:L31" si="5">+M19/Units_NRA</f>
        <v>101</v>
      </c>
      <c r="M19" s="185">
        <v>9999</v>
      </c>
      <c r="N19" s="24"/>
      <c r="P19" s="55">
        <f t="shared" ref="P19:P31" si="6">+Q19/Units_NRA</f>
        <v>101</v>
      </c>
      <c r="Q19" s="24">
        <v>9999</v>
      </c>
      <c r="R19" s="40"/>
      <c r="S19" s="41"/>
      <c r="T19" s="41"/>
      <c r="U19" s="41"/>
      <c r="V19" s="42"/>
    </row>
    <row r="20" spans="2:22" x14ac:dyDescent="0.2">
      <c r="B20" s="23" t="s">
        <v>35</v>
      </c>
      <c r="E20" s="189"/>
      <c r="F20" s="184">
        <f t="shared" si="3"/>
        <v>101</v>
      </c>
      <c r="G20" s="185">
        <v>9999</v>
      </c>
      <c r="H20" s="189"/>
      <c r="I20" s="184">
        <f t="shared" si="4"/>
        <v>101</v>
      </c>
      <c r="J20" s="185">
        <v>9999</v>
      </c>
      <c r="K20" s="189"/>
      <c r="L20" s="184">
        <f t="shared" si="5"/>
        <v>101</v>
      </c>
      <c r="M20" s="185">
        <v>9999</v>
      </c>
      <c r="N20" s="24"/>
      <c r="P20" s="55">
        <f t="shared" si="6"/>
        <v>101</v>
      </c>
      <c r="Q20" s="24">
        <v>9999</v>
      </c>
      <c r="R20" s="40"/>
      <c r="S20" s="41"/>
      <c r="T20" s="41"/>
      <c r="U20" s="41"/>
      <c r="V20" s="42"/>
    </row>
    <row r="21" spans="2:22" x14ac:dyDescent="0.2">
      <c r="B21" s="23" t="s">
        <v>48</v>
      </c>
      <c r="E21" s="189"/>
      <c r="F21" s="184">
        <f t="shared" si="3"/>
        <v>101</v>
      </c>
      <c r="G21" s="185">
        <v>9999</v>
      </c>
      <c r="H21" s="189"/>
      <c r="I21" s="184">
        <f t="shared" si="4"/>
        <v>101</v>
      </c>
      <c r="J21" s="185">
        <v>9999</v>
      </c>
      <c r="K21" s="189"/>
      <c r="L21" s="184">
        <f t="shared" si="5"/>
        <v>101</v>
      </c>
      <c r="M21" s="185">
        <v>9999</v>
      </c>
      <c r="N21" s="24"/>
      <c r="P21" s="55">
        <f t="shared" si="6"/>
        <v>101</v>
      </c>
      <c r="Q21" s="24">
        <v>9999</v>
      </c>
      <c r="R21" s="40"/>
      <c r="S21" s="41"/>
      <c r="T21" s="41"/>
      <c r="U21" s="41"/>
      <c r="V21" s="42"/>
    </row>
    <row r="22" spans="2:22" x14ac:dyDescent="0.2">
      <c r="B22" s="23" t="s">
        <v>36</v>
      </c>
      <c r="E22" s="189"/>
      <c r="F22" s="184">
        <f t="shared" si="3"/>
        <v>1010.0909090909091</v>
      </c>
      <c r="G22" s="185">
        <v>99999</v>
      </c>
      <c r="H22" s="189"/>
      <c r="I22" s="184">
        <f t="shared" si="4"/>
        <v>1010.0909090909091</v>
      </c>
      <c r="J22" s="185">
        <v>99999</v>
      </c>
      <c r="K22" s="189"/>
      <c r="L22" s="184">
        <f t="shared" si="5"/>
        <v>1010.0909090909091</v>
      </c>
      <c r="M22" s="185">
        <v>99999</v>
      </c>
      <c r="N22" s="24"/>
      <c r="P22" s="55">
        <f t="shared" si="6"/>
        <v>1010.0909090909091</v>
      </c>
      <c r="Q22" s="24">
        <v>99999</v>
      </c>
      <c r="R22" s="40"/>
      <c r="S22" s="41"/>
      <c r="T22" s="41"/>
      <c r="U22" s="41"/>
      <c r="V22" s="42"/>
    </row>
    <row r="23" spans="2:22" x14ac:dyDescent="0.2">
      <c r="B23" s="23" t="s">
        <v>37</v>
      </c>
      <c r="E23" s="189"/>
      <c r="F23" s="184">
        <f t="shared" si="3"/>
        <v>101</v>
      </c>
      <c r="G23" s="185">
        <v>9999</v>
      </c>
      <c r="H23" s="189"/>
      <c r="I23" s="184">
        <f t="shared" si="4"/>
        <v>101</v>
      </c>
      <c r="J23" s="185">
        <v>9999</v>
      </c>
      <c r="K23" s="189"/>
      <c r="L23" s="184">
        <f t="shared" si="5"/>
        <v>101</v>
      </c>
      <c r="M23" s="185">
        <v>9999</v>
      </c>
      <c r="N23" s="24"/>
      <c r="P23" s="55">
        <f t="shared" si="6"/>
        <v>101</v>
      </c>
      <c r="Q23" s="24">
        <v>9999</v>
      </c>
      <c r="R23" s="40"/>
      <c r="S23" s="41"/>
      <c r="T23" s="41"/>
      <c r="U23" s="41"/>
      <c r="V23" s="42"/>
    </row>
    <row r="24" spans="2:22" x14ac:dyDescent="0.2">
      <c r="B24" s="23" t="s">
        <v>38</v>
      </c>
      <c r="E24" s="189"/>
      <c r="F24" s="184">
        <f t="shared" si="3"/>
        <v>101</v>
      </c>
      <c r="G24" s="185">
        <v>9999</v>
      </c>
      <c r="H24" s="189"/>
      <c r="I24" s="184">
        <f t="shared" si="4"/>
        <v>101</v>
      </c>
      <c r="J24" s="185">
        <v>9999</v>
      </c>
      <c r="K24" s="189"/>
      <c r="L24" s="184">
        <f t="shared" si="5"/>
        <v>101</v>
      </c>
      <c r="M24" s="185">
        <v>9999</v>
      </c>
      <c r="N24" s="24"/>
      <c r="P24" s="55">
        <f t="shared" si="6"/>
        <v>101</v>
      </c>
      <c r="Q24" s="24">
        <v>9999</v>
      </c>
      <c r="R24" s="40"/>
      <c r="S24" s="41"/>
      <c r="T24" s="41"/>
      <c r="U24" s="41"/>
      <c r="V24" s="42"/>
    </row>
    <row r="25" spans="2:22" x14ac:dyDescent="0.2">
      <c r="B25" s="23" t="s">
        <v>40</v>
      </c>
      <c r="E25" s="189"/>
      <c r="F25" s="184">
        <f t="shared" si="3"/>
        <v>1010.0909090909091</v>
      </c>
      <c r="G25" s="185">
        <v>99999</v>
      </c>
      <c r="H25" s="189"/>
      <c r="I25" s="184">
        <f t="shared" si="4"/>
        <v>1010.0909090909091</v>
      </c>
      <c r="J25" s="185">
        <v>99999</v>
      </c>
      <c r="K25" s="189"/>
      <c r="L25" s="184">
        <f t="shared" si="5"/>
        <v>1010.0909090909091</v>
      </c>
      <c r="M25" s="185">
        <v>99999</v>
      </c>
      <c r="N25" s="24"/>
      <c r="P25" s="55">
        <f t="shared" si="6"/>
        <v>1010.0909090909091</v>
      </c>
      <c r="Q25" s="24">
        <v>99999</v>
      </c>
      <c r="R25" s="40"/>
      <c r="S25" s="41"/>
      <c r="T25" s="41"/>
      <c r="U25" s="41"/>
      <c r="V25" s="42"/>
    </row>
    <row r="26" spans="2:22" x14ac:dyDescent="0.2">
      <c r="B26" s="23" t="s">
        <v>41</v>
      </c>
      <c r="E26" s="189"/>
      <c r="F26" s="184">
        <f t="shared" si="3"/>
        <v>101</v>
      </c>
      <c r="G26" s="185">
        <v>9999</v>
      </c>
      <c r="H26" s="189"/>
      <c r="I26" s="184">
        <f t="shared" si="4"/>
        <v>101</v>
      </c>
      <c r="J26" s="185">
        <v>9999</v>
      </c>
      <c r="K26" s="189"/>
      <c r="L26" s="184">
        <f t="shared" si="5"/>
        <v>101</v>
      </c>
      <c r="M26" s="185">
        <v>9999</v>
      </c>
      <c r="N26" s="24"/>
      <c r="P26" s="55">
        <f t="shared" si="6"/>
        <v>101</v>
      </c>
      <c r="Q26" s="24">
        <v>9999</v>
      </c>
      <c r="R26" s="40"/>
      <c r="S26" s="41"/>
      <c r="T26" s="41"/>
      <c r="U26" s="41"/>
      <c r="V26" s="42"/>
    </row>
    <row r="27" spans="2:22" x14ac:dyDescent="0.2">
      <c r="B27" s="23" t="s">
        <v>42</v>
      </c>
      <c r="E27" s="189"/>
      <c r="F27" s="184">
        <f t="shared" si="3"/>
        <v>101</v>
      </c>
      <c r="G27" s="185">
        <v>9999</v>
      </c>
      <c r="H27" s="189"/>
      <c r="I27" s="184">
        <f t="shared" si="4"/>
        <v>101</v>
      </c>
      <c r="J27" s="185">
        <v>9999</v>
      </c>
      <c r="K27" s="189"/>
      <c r="L27" s="184">
        <f t="shared" si="5"/>
        <v>101</v>
      </c>
      <c r="M27" s="185">
        <v>9999</v>
      </c>
      <c r="N27" s="24"/>
      <c r="P27" s="55">
        <f t="shared" si="6"/>
        <v>101</v>
      </c>
      <c r="Q27" s="24">
        <v>9999</v>
      </c>
      <c r="R27" s="40"/>
      <c r="S27" s="41"/>
      <c r="T27" s="41"/>
      <c r="U27" s="41"/>
      <c r="V27" s="42"/>
    </row>
    <row r="28" spans="2:22" x14ac:dyDescent="0.2">
      <c r="B28" s="23" t="s">
        <v>39</v>
      </c>
      <c r="E28" s="192">
        <v>0.03</v>
      </c>
      <c r="F28" s="184">
        <f t="shared" si="3"/>
        <v>360.60545454545451</v>
      </c>
      <c r="G28" s="193">
        <f>+E28*G17</f>
        <v>35699.939999999995</v>
      </c>
      <c r="H28" s="192">
        <v>0.03</v>
      </c>
      <c r="I28" s="184">
        <f t="shared" si="4"/>
        <v>360.60545454545451</v>
      </c>
      <c r="J28" s="193">
        <f>+H28*J17</f>
        <v>35699.939999999995</v>
      </c>
      <c r="K28" s="192">
        <v>0.03</v>
      </c>
      <c r="L28" s="184">
        <f t="shared" si="5"/>
        <v>360.60545454545451</v>
      </c>
      <c r="M28" s="193">
        <f>+K28*M17</f>
        <v>35699.939999999995</v>
      </c>
      <c r="N28" s="30"/>
      <c r="O28" s="59">
        <v>0.03</v>
      </c>
      <c r="P28" s="55">
        <f t="shared" si="6"/>
        <v>360.60545454545451</v>
      </c>
      <c r="Q28" s="30">
        <f>+O28*Q17</f>
        <v>35699.939999999995</v>
      </c>
      <c r="R28" s="46"/>
      <c r="S28" s="47"/>
      <c r="T28" s="47"/>
      <c r="U28" s="47"/>
      <c r="V28" s="42"/>
    </row>
    <row r="29" spans="2:22" x14ac:dyDescent="0.2">
      <c r="B29" s="23" t="s">
        <v>43</v>
      </c>
      <c r="E29" s="189"/>
      <c r="F29" s="184">
        <f t="shared" si="3"/>
        <v>1010.0909090909091</v>
      </c>
      <c r="G29" s="185">
        <v>99999</v>
      </c>
      <c r="H29" s="189"/>
      <c r="I29" s="184">
        <f t="shared" si="4"/>
        <v>1010.0909090909091</v>
      </c>
      <c r="J29" s="185">
        <v>99999</v>
      </c>
      <c r="K29" s="189"/>
      <c r="L29" s="184">
        <f t="shared" si="5"/>
        <v>1010.0909090909091</v>
      </c>
      <c r="M29" s="185">
        <v>99999</v>
      </c>
      <c r="N29" s="24"/>
      <c r="P29" s="55">
        <f t="shared" si="6"/>
        <v>1010.0909090909091</v>
      </c>
      <c r="Q29" s="24">
        <v>99999</v>
      </c>
      <c r="R29" s="40"/>
      <c r="S29" s="41"/>
      <c r="T29" s="41"/>
      <c r="U29" s="41"/>
      <c r="V29" s="42"/>
    </row>
    <row r="30" spans="2:22" x14ac:dyDescent="0.2">
      <c r="B30" s="23" t="s">
        <v>44</v>
      </c>
      <c r="E30" s="189"/>
      <c r="F30" s="184">
        <f t="shared" si="3"/>
        <v>101</v>
      </c>
      <c r="G30" s="185">
        <v>9999</v>
      </c>
      <c r="H30" s="189"/>
      <c r="I30" s="184">
        <f t="shared" si="4"/>
        <v>101</v>
      </c>
      <c r="J30" s="185">
        <v>9999</v>
      </c>
      <c r="K30" s="189"/>
      <c r="L30" s="184">
        <f t="shared" si="5"/>
        <v>101</v>
      </c>
      <c r="M30" s="185">
        <v>9999</v>
      </c>
      <c r="N30" s="24"/>
      <c r="P30" s="55">
        <f t="shared" si="6"/>
        <v>101</v>
      </c>
      <c r="Q30" s="24">
        <v>9999</v>
      </c>
      <c r="R30" s="40"/>
      <c r="S30" s="41"/>
      <c r="T30" s="41"/>
      <c r="U30" s="41"/>
      <c r="V30" s="42"/>
    </row>
    <row r="31" spans="2:22" ht="16.5" x14ac:dyDescent="0.35">
      <c r="B31" s="23" t="s">
        <v>46</v>
      </c>
      <c r="E31" s="189"/>
      <c r="F31" s="187">
        <f t="shared" si="3"/>
        <v>1010.0909090909091</v>
      </c>
      <c r="G31" s="188">
        <v>99999</v>
      </c>
      <c r="H31" s="189"/>
      <c r="I31" s="187">
        <f t="shared" si="4"/>
        <v>1010.0909090909091</v>
      </c>
      <c r="J31" s="188">
        <v>99999</v>
      </c>
      <c r="K31" s="189"/>
      <c r="L31" s="187">
        <f t="shared" si="5"/>
        <v>1010.0909090909091</v>
      </c>
      <c r="M31" s="188">
        <v>99999</v>
      </c>
      <c r="N31" s="25"/>
      <c r="P31" s="57">
        <f t="shared" si="6"/>
        <v>1010.0909090909091</v>
      </c>
      <c r="Q31" s="25">
        <v>99999</v>
      </c>
      <c r="R31" s="40"/>
      <c r="S31" s="43"/>
      <c r="T31" s="43"/>
      <c r="U31" s="43"/>
      <c r="V31" s="42"/>
    </row>
    <row r="32" spans="2:22" x14ac:dyDescent="0.2">
      <c r="B32" s="1" t="s">
        <v>45</v>
      </c>
      <c r="E32" s="191">
        <f>G32/G17</f>
        <v>0.43335193840661917</v>
      </c>
      <c r="F32" s="184">
        <f>SUM(F19:F31)</f>
        <v>5208.9690909090905</v>
      </c>
      <c r="G32" s="190">
        <f>SUM(G19:G31)</f>
        <v>515687.94</v>
      </c>
      <c r="H32" s="191">
        <f>J32/J17</f>
        <v>0.43335193840661917</v>
      </c>
      <c r="I32" s="184">
        <f>SUM(I19:I31)</f>
        <v>5208.9690909090905</v>
      </c>
      <c r="J32" s="190">
        <f>SUM(J19:J31)</f>
        <v>515687.94</v>
      </c>
      <c r="K32" s="191">
        <f>M32/M17</f>
        <v>0.43335193840661917</v>
      </c>
      <c r="L32" s="184">
        <f>SUM(L19:L31)</f>
        <v>5208.9690909090905</v>
      </c>
      <c r="M32" s="190">
        <f>SUM(M19:M31)</f>
        <v>515687.94</v>
      </c>
      <c r="N32" s="14"/>
      <c r="O32" s="58">
        <f>Q32/Q17</f>
        <v>0.43335193840661917</v>
      </c>
      <c r="P32" s="55">
        <f>SUM(P19:P31)</f>
        <v>5208.9690909090905</v>
      </c>
      <c r="Q32" s="14">
        <f>SUM(Q19:Q31)</f>
        <v>515687.94</v>
      </c>
      <c r="R32" s="40"/>
      <c r="S32" s="44"/>
      <c r="T32" s="44"/>
      <c r="U32" s="44"/>
      <c r="V32" s="42"/>
    </row>
    <row r="33" spans="2:22" ht="5.0999999999999996" customHeight="1" x14ac:dyDescent="0.2">
      <c r="E33" s="189"/>
      <c r="F33" s="184"/>
      <c r="G33" s="190"/>
      <c r="H33" s="189"/>
      <c r="I33" s="184"/>
      <c r="J33" s="190"/>
      <c r="K33" s="189"/>
      <c r="L33" s="184"/>
      <c r="M33" s="190"/>
      <c r="N33" s="14"/>
      <c r="R33" s="40"/>
      <c r="S33" s="44"/>
      <c r="T33" s="44"/>
      <c r="U33" s="44"/>
      <c r="V33" s="42"/>
    </row>
    <row r="34" spans="2:22" x14ac:dyDescent="0.2">
      <c r="B34" s="48" t="s">
        <v>51</v>
      </c>
      <c r="C34" s="48"/>
      <c r="D34" s="48"/>
      <c r="E34" s="194"/>
      <c r="F34" s="195">
        <f>+F17-F32</f>
        <v>6811.2127272727257</v>
      </c>
      <c r="G34" s="196">
        <f>+G17-G32</f>
        <v>674310.06</v>
      </c>
      <c r="H34" s="194"/>
      <c r="I34" s="195">
        <f>+I17-I32</f>
        <v>6811.2127272727257</v>
      </c>
      <c r="J34" s="196">
        <f>+J17-J32</f>
        <v>674310.06</v>
      </c>
      <c r="K34" s="194"/>
      <c r="L34" s="195">
        <f>+L17-L32</f>
        <v>6811.2127272727257</v>
      </c>
      <c r="M34" s="196">
        <f>+M17-M32</f>
        <v>674310.06</v>
      </c>
      <c r="N34" s="49"/>
      <c r="O34" s="60"/>
      <c r="P34" s="61">
        <f>+P17-P32</f>
        <v>6811.2127272727257</v>
      </c>
      <c r="Q34" s="49">
        <f>+Q17-Q32</f>
        <v>674310.06</v>
      </c>
      <c r="R34" s="40"/>
      <c r="S34" s="44"/>
      <c r="T34" s="44"/>
      <c r="U34" s="44"/>
      <c r="V34" s="42"/>
    </row>
    <row r="35" spans="2:22" x14ac:dyDescent="0.2">
      <c r="B35" s="23" t="s">
        <v>77</v>
      </c>
      <c r="E35" s="189"/>
      <c r="F35" s="184"/>
      <c r="G35" s="197"/>
      <c r="H35" s="189"/>
      <c r="I35" s="184"/>
      <c r="J35" s="197"/>
      <c r="K35" s="189"/>
      <c r="L35" s="184"/>
      <c r="M35" s="197"/>
      <c r="N35" s="29"/>
      <c r="Q35" s="29">
        <v>5.5E-2</v>
      </c>
      <c r="R35" s="71"/>
      <c r="S35" s="44"/>
      <c r="T35" s="44"/>
      <c r="U35" s="44"/>
      <c r="V35" s="42"/>
    </row>
    <row r="36" spans="2:22" ht="5.0999999999999996" customHeight="1" x14ac:dyDescent="0.2">
      <c r="B36" s="23"/>
      <c r="E36" s="189"/>
      <c r="F36" s="184"/>
      <c r="G36" s="197"/>
      <c r="H36" s="189"/>
      <c r="I36" s="184"/>
      <c r="J36" s="197"/>
      <c r="K36" s="189"/>
      <c r="L36" s="184"/>
      <c r="M36" s="197"/>
      <c r="N36" s="29"/>
      <c r="Q36" s="29"/>
      <c r="R36" s="71"/>
      <c r="S36" s="44"/>
      <c r="T36" s="44"/>
      <c r="U36" s="44"/>
      <c r="V36" s="42"/>
    </row>
    <row r="37" spans="2:22" x14ac:dyDescent="0.2">
      <c r="B37" s="48" t="s">
        <v>78</v>
      </c>
      <c r="C37" s="48"/>
      <c r="D37" s="48"/>
      <c r="E37" s="194"/>
      <c r="F37" s="195"/>
      <c r="G37" s="196"/>
      <c r="H37" s="194"/>
      <c r="I37" s="195"/>
      <c r="J37" s="196"/>
      <c r="K37" s="194"/>
      <c r="L37" s="195"/>
      <c r="M37" s="196"/>
      <c r="N37" s="49"/>
      <c r="O37" s="60"/>
      <c r="P37" s="61">
        <f>Value/Units_NRA</f>
        <v>123840.23140495869</v>
      </c>
      <c r="Q37" s="49">
        <f>+NOI/Q35</f>
        <v>12260182.90909091</v>
      </c>
      <c r="R37" s="71"/>
      <c r="S37" s="44"/>
      <c r="T37" s="44"/>
      <c r="U37" s="44"/>
      <c r="V37" s="42"/>
    </row>
    <row r="38" spans="2:22" x14ac:dyDescent="0.2">
      <c r="E38" s="189"/>
      <c r="F38" s="184"/>
      <c r="G38" s="189"/>
      <c r="H38" s="189"/>
      <c r="I38" s="184"/>
      <c r="J38" s="189"/>
      <c r="K38" s="189"/>
      <c r="L38" s="184"/>
      <c r="M38" s="189"/>
    </row>
  </sheetData>
  <printOptions horizontalCentered="1"/>
  <pageMargins left="0.7" right="0.7" top="0.75" bottom="0.75" header="0.3" footer="0.3"/>
  <pageSetup scale="62" orientation="portrait" r:id="rId1"/>
  <headerFooter>
    <oddFooter>&amp;CPAGE &amp;P OF &amp;N - UNDERWRITING PRO FORMA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927C9-0BD3-407D-8807-80C2AEE664E4}">
  <sheetPr>
    <tabColor theme="4" tint="0.79998168889431442"/>
    <pageSetUpPr fitToPage="1"/>
  </sheetPr>
  <dimension ref="A1:I47"/>
  <sheetViews>
    <sheetView showGridLines="0" zoomScale="85" zoomScaleNormal="85" workbookViewId="0"/>
  </sheetViews>
  <sheetFormatPr defaultColWidth="0" defaultRowHeight="14.25" zeroHeight="1" x14ac:dyDescent="0.2"/>
  <cols>
    <col min="1" max="1" width="0.875" style="1" customWidth="1"/>
    <col min="2" max="2" width="15.75" style="1" customWidth="1"/>
    <col min="3" max="3" width="10.125" style="1" bestFit="1" customWidth="1"/>
    <col min="4" max="4" width="8.875" style="1" customWidth="1"/>
    <col min="5" max="5" width="13.75" style="1" bestFit="1" customWidth="1"/>
    <col min="6" max="6" width="11.125" style="1" customWidth="1"/>
    <col min="7" max="7" width="8.875" style="1" customWidth="1"/>
    <col min="8" max="8" width="12.875" style="14" customWidth="1"/>
    <col min="9" max="9" width="0.875" style="1" customWidth="1"/>
    <col min="10" max="16384" width="8.875" style="1" hidden="1"/>
  </cols>
  <sheetData>
    <row r="1" spans="2:8" ht="5.0999999999999996" customHeight="1" x14ac:dyDescent="0.2">
      <c r="H1" s="1"/>
    </row>
    <row r="2" spans="2:8" s="3" customFormat="1" ht="18" x14ac:dyDescent="0.25">
      <c r="B2" s="21" t="s">
        <v>194</v>
      </c>
      <c r="C2" s="2"/>
      <c r="D2" s="2"/>
      <c r="E2" s="2"/>
      <c r="F2" s="2"/>
      <c r="G2" s="2"/>
      <c r="H2" s="2"/>
    </row>
    <row r="3" spans="2:8" s="3" customFormat="1" x14ac:dyDescent="0.2">
      <c r="B3" s="2" t="str">
        <f>UPPER(Inv_Name)</f>
        <v>[INVESTMENT NAME]</v>
      </c>
      <c r="C3" s="2"/>
      <c r="D3" s="4"/>
      <c r="E3" s="2"/>
      <c r="F3" s="2"/>
      <c r="G3" s="2"/>
      <c r="H3" s="4" t="str">
        <f>Inv_Number</f>
        <v>[12345]</v>
      </c>
    </row>
    <row r="4" spans="2:8" s="3" customFormat="1" x14ac:dyDescent="0.2">
      <c r="B4" s="38" t="s">
        <v>86</v>
      </c>
      <c r="C4" s="34"/>
      <c r="D4" s="35"/>
      <c r="E4" s="34"/>
      <c r="F4" s="34"/>
      <c r="G4" s="36" t="str">
        <f>"/"&amp;Unit_Type_Singular</f>
        <v>/Unit</v>
      </c>
      <c r="H4" s="35"/>
    </row>
    <row r="5" spans="2:8" x14ac:dyDescent="0.2">
      <c r="B5" s="1" t="s">
        <v>72</v>
      </c>
      <c r="G5" s="26">
        <f>+H5/Units_NRA</f>
        <v>6811.2127272727275</v>
      </c>
      <c r="H5" s="14">
        <f>NOI</f>
        <v>674310.06</v>
      </c>
    </row>
    <row r="6" spans="2:8" x14ac:dyDescent="0.2">
      <c r="B6" s="23" t="s">
        <v>77</v>
      </c>
      <c r="H6" s="27">
        <f>+'Pro Forma'!Q35</f>
        <v>5.5E-2</v>
      </c>
    </row>
    <row r="7" spans="2:8" x14ac:dyDescent="0.2">
      <c r="B7" s="1" t="s">
        <v>78</v>
      </c>
      <c r="G7" s="26">
        <f>+H7/Units_NRA</f>
        <v>123840.23140495869</v>
      </c>
      <c r="H7" s="14">
        <f>Value</f>
        <v>12260182.90909091</v>
      </c>
    </row>
    <row r="8" spans="2:8" x14ac:dyDescent="0.2">
      <c r="B8" s="38" t="s">
        <v>170</v>
      </c>
      <c r="C8" s="34"/>
      <c r="D8" s="35"/>
      <c r="E8" s="34"/>
      <c r="F8" s="34"/>
      <c r="G8" s="36" t="s">
        <v>185</v>
      </c>
      <c r="H8" s="36" t="s">
        <v>184</v>
      </c>
    </row>
    <row r="9" spans="2:8" x14ac:dyDescent="0.2">
      <c r="B9" s="1" t="s">
        <v>87</v>
      </c>
      <c r="G9" s="1">
        <f>ROUNDUP(H9*12,0)</f>
        <v>120</v>
      </c>
      <c r="H9" s="76">
        <v>10</v>
      </c>
    </row>
    <row r="10" spans="2:8" x14ac:dyDescent="0.2">
      <c r="B10" s="1" t="s">
        <v>88</v>
      </c>
      <c r="G10" s="1">
        <f>ROUNDUP(H10*12,0)</f>
        <v>60</v>
      </c>
      <c r="H10" s="76">
        <v>5</v>
      </c>
    </row>
    <row r="11" spans="2:8" x14ac:dyDescent="0.2">
      <c r="B11" s="1" t="s">
        <v>89</v>
      </c>
      <c r="G11" s="1">
        <f>ROUNDUP(H11*12,0)</f>
        <v>360</v>
      </c>
      <c r="H11" s="76">
        <v>30</v>
      </c>
    </row>
    <row r="12" spans="2:8" x14ac:dyDescent="0.2">
      <c r="B12" s="1" t="s">
        <v>187</v>
      </c>
      <c r="C12" s="124">
        <v>45094</v>
      </c>
      <c r="H12" s="76"/>
    </row>
    <row r="13" spans="2:8" x14ac:dyDescent="0.2">
      <c r="B13" s="88" t="s">
        <v>90</v>
      </c>
      <c r="C13" s="212" t="s">
        <v>256</v>
      </c>
    </row>
    <row r="14" spans="2:8" x14ac:dyDescent="0.2">
      <c r="B14" s="72" t="s">
        <v>91</v>
      </c>
      <c r="H14" s="77">
        <v>225</v>
      </c>
    </row>
    <row r="15" spans="2:8" x14ac:dyDescent="0.2">
      <c r="B15" s="23" t="s">
        <v>261</v>
      </c>
      <c r="H15" s="9" t="s">
        <v>192</v>
      </c>
    </row>
    <row r="16" spans="2:8" x14ac:dyDescent="0.2">
      <c r="B16" s="23" t="s">
        <v>235</v>
      </c>
      <c r="C16" s="213" t="str">
        <f>MIN(H9,30)&amp;"-year UST"</f>
        <v>10-year UST</v>
      </c>
      <c r="E16" s="230">
        <v>1</v>
      </c>
      <c r="F16" s="230"/>
      <c r="G16" s="230"/>
      <c r="H16" s="29">
        <v>4.2500000000000003E-2</v>
      </c>
    </row>
    <row r="17" spans="2:8" x14ac:dyDescent="0.2">
      <c r="B17" s="23" t="s">
        <v>90</v>
      </c>
      <c r="H17" s="27">
        <f>+H16+(H14/10000)</f>
        <v>6.5000000000000002E-2</v>
      </c>
    </row>
    <row r="18" spans="2:8" x14ac:dyDescent="0.2">
      <c r="B18" s="125" t="s">
        <v>270</v>
      </c>
      <c r="H18" s="27"/>
    </row>
    <row r="19" spans="2:8" x14ac:dyDescent="0.2">
      <c r="B19" s="23" t="s">
        <v>271</v>
      </c>
      <c r="H19" s="14">
        <f>+PMT(Amortization!F6/12,H11*12,-H26)</f>
        <v>38571.025053902427</v>
      </c>
    </row>
    <row r="20" spans="2:8" x14ac:dyDescent="0.2">
      <c r="B20" s="23" t="s">
        <v>272</v>
      </c>
      <c r="H20" s="14">
        <f>Amortization!F6*H26/12</f>
        <v>33054.414705882358</v>
      </c>
    </row>
    <row r="21" spans="2:8" ht="5.0999999999999996" customHeight="1" x14ac:dyDescent="0.2">
      <c r="H21" s="1"/>
    </row>
    <row r="22" spans="2:8" x14ac:dyDescent="0.2">
      <c r="B22" s="1" t="s">
        <v>190</v>
      </c>
      <c r="G22" s="27">
        <f>H22/H26</f>
        <v>0.01</v>
      </c>
      <c r="H22" s="24">
        <f>+H26*0.01</f>
        <v>61023.534841628971</v>
      </c>
    </row>
    <row r="23" spans="2:8" x14ac:dyDescent="0.2">
      <c r="B23" s="1" t="s">
        <v>191</v>
      </c>
      <c r="G23" s="27"/>
      <c r="H23" s="101">
        <f>IRR(Amortization!L5:L605,H17)*12</f>
        <v>6.6387264153015657E-2</v>
      </c>
    </row>
    <row r="24" spans="2:8" x14ac:dyDescent="0.2">
      <c r="B24" s="1" t="s">
        <v>214</v>
      </c>
      <c r="G24" s="27"/>
      <c r="H24" s="182">
        <f>+Amortization!Q5</f>
        <v>9.8515475155602843</v>
      </c>
    </row>
    <row r="25" spans="2:8" ht="15" thickBot="1" x14ac:dyDescent="0.25">
      <c r="B25" s="38" t="s">
        <v>97</v>
      </c>
      <c r="C25" s="34"/>
      <c r="D25" s="35"/>
      <c r="E25" s="34"/>
      <c r="F25" s="34"/>
      <c r="G25" s="36" t="str">
        <f>"/"&amp;Unit_Type_Singular</f>
        <v>/Unit</v>
      </c>
      <c r="H25" s="35"/>
    </row>
    <row r="26" spans="2:8" ht="15" thickBot="1" x14ac:dyDescent="0.25">
      <c r="B26" s="78" t="s">
        <v>94</v>
      </c>
      <c r="C26" s="79"/>
      <c r="D26" s="79"/>
      <c r="E26" s="79"/>
      <c r="F26" s="79"/>
      <c r="G26" s="80">
        <f>+H26/Units_NRA</f>
        <v>61639.934183463607</v>
      </c>
      <c r="H26" s="89">
        <f>H37</f>
        <v>6102353.4841628969</v>
      </c>
    </row>
    <row r="27" spans="2:8" x14ac:dyDescent="0.2">
      <c r="B27" s="23" t="s">
        <v>102</v>
      </c>
      <c r="H27" s="74">
        <f>+$H$5/12/H19</f>
        <v>1.4568579632372183</v>
      </c>
    </row>
    <row r="28" spans="2:8" x14ac:dyDescent="0.2">
      <c r="B28" s="23" t="s">
        <v>103</v>
      </c>
      <c r="H28" s="74">
        <f>+$H$5/12/H20</f>
        <v>1.7</v>
      </c>
    </row>
    <row r="29" spans="2:8" x14ac:dyDescent="0.2">
      <c r="B29" s="23" t="s">
        <v>96</v>
      </c>
      <c r="H29" s="27">
        <f>H5/H26</f>
        <v>0.11049999999999999</v>
      </c>
    </row>
    <row r="30" spans="2:8" x14ac:dyDescent="0.2">
      <c r="B30" s="23" t="s">
        <v>79</v>
      </c>
      <c r="H30" s="16">
        <f>+H26/H7</f>
        <v>0.49773755656108598</v>
      </c>
    </row>
    <row r="31" spans="2:8" ht="5.0999999999999996" customHeight="1" x14ac:dyDescent="0.2"/>
    <row r="32" spans="2:8" x14ac:dyDescent="0.2">
      <c r="B32" s="88" t="s">
        <v>202</v>
      </c>
      <c r="E32" s="11" t="s">
        <v>93</v>
      </c>
      <c r="F32" s="11" t="s">
        <v>95</v>
      </c>
      <c r="G32" s="11" t="s">
        <v>279</v>
      </c>
    </row>
    <row r="33" spans="2:8" x14ac:dyDescent="0.2">
      <c r="B33" s="1" t="s">
        <v>101</v>
      </c>
      <c r="E33" s="14">
        <f>-PV($H$17/12,$H$11*12,$H$5/H33)/12</f>
        <v>6350187.3342079045</v>
      </c>
      <c r="F33" s="7" t="str">
        <f>IF(G33="NO","NA",IF(E33&lt;$H$26,"FAIL","PASS"))</f>
        <v>PASS</v>
      </c>
      <c r="G33" s="9" t="s">
        <v>83</v>
      </c>
      <c r="H33" s="75">
        <v>1.4</v>
      </c>
    </row>
    <row r="34" spans="2:8" x14ac:dyDescent="0.2">
      <c r="B34" s="1" t="s">
        <v>100</v>
      </c>
      <c r="E34" s="14">
        <f>H5/H34/H17</f>
        <v>6102353.4841628969</v>
      </c>
      <c r="F34" s="7" t="str">
        <f>IF(G34="NO","NA",IF(E34&lt;$H$26,"FAIL","PASS"))</f>
        <v>PASS</v>
      </c>
      <c r="G34" s="9" t="s">
        <v>83</v>
      </c>
      <c r="H34" s="75">
        <v>1.7</v>
      </c>
    </row>
    <row r="35" spans="2:8" x14ac:dyDescent="0.2">
      <c r="B35" s="1" t="s">
        <v>84</v>
      </c>
      <c r="E35" s="14">
        <f>+H5/H35</f>
        <v>6130091.4545454551</v>
      </c>
      <c r="F35" s="7" t="str">
        <f>IF(G35="NO","NA",IF(E35&lt;$H$26,"FAIL","PASS"))</f>
        <v>PASS</v>
      </c>
      <c r="G35" s="9" t="s">
        <v>83</v>
      </c>
      <c r="H35" s="29">
        <f>H17+4.5%</f>
        <v>0.11</v>
      </c>
    </row>
    <row r="36" spans="2:8" x14ac:dyDescent="0.2">
      <c r="B36" s="1" t="s">
        <v>85</v>
      </c>
      <c r="E36" s="14">
        <f>+H7*H36</f>
        <v>7356109.7454545461</v>
      </c>
      <c r="F36" s="7" t="str">
        <f>IF(G36="NO","NA",IF(E36&lt;$H$26,"FAIL","PASS"))</f>
        <v>PASS</v>
      </c>
      <c r="G36" s="9" t="s">
        <v>83</v>
      </c>
      <c r="H36" s="28">
        <v>0.6</v>
      </c>
    </row>
    <row r="37" spans="2:8" x14ac:dyDescent="0.2">
      <c r="B37" s="1" t="s">
        <v>92</v>
      </c>
      <c r="H37" s="14">
        <f>_xlfn.MINIFS(E33:E36,G33:G36,"Yes")</f>
        <v>6102353.4841628969</v>
      </c>
    </row>
    <row r="38" spans="2:8" x14ac:dyDescent="0.2"/>
    <row r="40" spans="2:8" hidden="1" x14ac:dyDescent="0.2">
      <c r="H40" s="15"/>
    </row>
    <row r="46" spans="2:8" x14ac:dyDescent="0.2"/>
    <row r="47" spans="2:8" x14ac:dyDescent="0.2"/>
  </sheetData>
  <mergeCells count="1">
    <mergeCell ref="E16:G16"/>
  </mergeCells>
  <conditionalFormatting sqref="B16:E16 H16 B17:H17">
    <cfRule type="expression" dxfId="6" priority="2">
      <formula>$C$13="Floating"</formula>
    </cfRule>
  </conditionalFormatting>
  <conditionalFormatting sqref="E16:G16">
    <cfRule type="expression" dxfId="5" priority="1">
      <formula>$C$13="Floating"</formula>
    </cfRule>
  </conditionalFormatting>
  <conditionalFormatting sqref="F33:F36">
    <cfRule type="expression" dxfId="4" priority="3">
      <formula>F33="FAIL"</formula>
    </cfRule>
  </conditionalFormatting>
  <dataValidations count="6">
    <dataValidation type="list" allowBlank="1" showInputMessage="1" showErrorMessage="1" sqref="G33:G36" xr:uid="{C8F52771-2C46-41AD-AA4F-0816E7C74632}">
      <formula1>"Yes, No"</formula1>
    </dataValidation>
    <dataValidation type="decimal" allowBlank="1" showInputMessage="1" showErrorMessage="1" errorTitle="Invalid Entry" error="Enter a number between 1 and 50" sqref="H9" xr:uid="{BB98502F-DD6B-45AB-B24D-8EB77FC283A3}">
      <formula1>1</formula1>
      <formula2>50</formula2>
    </dataValidation>
    <dataValidation type="decimal" allowBlank="1" showInputMessage="1" showErrorMessage="1" errorTitle="Invalid Entry" error="Enter a number between 1 and 50" sqref="H10" xr:uid="{E965EF0A-D0EE-443F-A9F5-3BA51FF6CE0D}">
      <formula1>0</formula1>
      <formula2>50</formula2>
    </dataValidation>
    <dataValidation type="decimal" allowBlank="1" showInputMessage="1" showErrorMessage="1" sqref="H11:H12" xr:uid="{1E845A43-030A-4F40-93EE-C264C5870BB6}">
      <formula1>1</formula1>
      <formula2>9999999</formula2>
    </dataValidation>
    <dataValidation type="list" allowBlank="1" showInputMessage="1" showErrorMessage="1" sqref="H15" xr:uid="{04B95F8A-9A74-4AE6-82DF-51B08C368330}">
      <formula1>"30/360, Actual/360, Actual/365"</formula1>
    </dataValidation>
    <dataValidation type="list" allowBlank="1" showInputMessage="1" showErrorMessage="1" sqref="C13:C15" xr:uid="{FB37AC6B-5921-48B9-9412-F9F5889C6FF2}">
      <formula1>"Fixed, Floating"</formula1>
    </dataValidation>
  </dataValidations>
  <printOptions horizontalCentered="1"/>
  <pageMargins left="0.7" right="0.7" top="0.75" bottom="0.75" header="0.3" footer="0.3"/>
  <pageSetup orientation="portrait" r:id="rId1"/>
  <headerFooter>
    <oddFooter>&amp;CPAGE &amp;P OF &amp;N - UNDERWRITING PRO FORMA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B903E-079F-4AF2-9E7A-F03898D6DABA}">
  <sheetPr>
    <tabColor theme="4" tint="0.79998168889431442"/>
    <pageSetUpPr fitToPage="1"/>
  </sheetPr>
  <dimension ref="A1:GI71"/>
  <sheetViews>
    <sheetView showGridLines="0" zoomScale="85" zoomScaleNormal="85" workbookViewId="0"/>
  </sheetViews>
  <sheetFormatPr defaultColWidth="0" defaultRowHeight="16.5" zeroHeight="1" outlineLevelRow="1" x14ac:dyDescent="0.3"/>
  <cols>
    <col min="1" max="1" width="0.875" style="90" customWidth="1"/>
    <col min="2" max="2" width="29.375" customWidth="1"/>
    <col min="3" max="3" width="4.75" customWidth="1"/>
    <col min="4" max="4" width="9.875" style="67" customWidth="1"/>
    <col min="5" max="5" width="14.875" style="106" bestFit="1" customWidth="1"/>
    <col min="6" max="6" width="10.625" style="106" bestFit="1" customWidth="1"/>
    <col min="7" max="7" width="11.25" style="106" bestFit="1" customWidth="1"/>
    <col min="8" max="8" width="11.125" style="106" bestFit="1" customWidth="1"/>
    <col min="9" max="9" width="10.75" style="106" bestFit="1" customWidth="1"/>
    <col min="10" max="11" width="10.875" style="106" bestFit="1" customWidth="1"/>
    <col min="12" max="12" width="11.125" style="106" bestFit="1" customWidth="1"/>
    <col min="13" max="14" width="10.75" style="106" bestFit="1" customWidth="1"/>
    <col min="15" max="15" width="11.125" style="106" bestFit="1" customWidth="1"/>
    <col min="16" max="16" width="10.75" style="106" bestFit="1" customWidth="1"/>
    <col min="17" max="17" width="11" style="106" bestFit="1" customWidth="1"/>
    <col min="18" max="19" width="10.75" style="106" bestFit="1" customWidth="1"/>
    <col min="20" max="20" width="0.875" style="90" customWidth="1"/>
    <col min="21" max="25" width="9.625" style="90" hidden="1" customWidth="1"/>
    <col min="26" max="26" width="18.625" style="90" hidden="1" customWidth="1"/>
    <col min="27" max="191" width="9.625" style="90" hidden="1" customWidth="1"/>
    <col min="192" max="16384" width="7.75" style="90" hidden="1"/>
  </cols>
  <sheetData>
    <row r="1" spans="2:191" s="1" customFormat="1" ht="5.0999999999999996" customHeight="1" x14ac:dyDescent="0.2">
      <c r="D1" s="7"/>
      <c r="E1" s="7"/>
      <c r="F1" s="7"/>
      <c r="G1" s="7"/>
      <c r="H1" s="7"/>
      <c r="I1" s="7"/>
      <c r="J1" s="7"/>
      <c r="K1" s="7"/>
      <c r="L1" s="7"/>
      <c r="M1" s="7"/>
      <c r="N1" s="7"/>
      <c r="O1" s="7"/>
      <c r="P1" s="7"/>
      <c r="Q1" s="7"/>
      <c r="R1" s="7"/>
      <c r="S1" s="7"/>
    </row>
    <row r="2" spans="2:191" s="3" customFormat="1" ht="18" x14ac:dyDescent="0.25">
      <c r="B2" s="21" t="s">
        <v>156</v>
      </c>
      <c r="C2" s="21"/>
      <c r="D2" s="4"/>
      <c r="E2" s="4"/>
      <c r="F2" s="4"/>
      <c r="G2" s="4"/>
      <c r="H2" s="4"/>
      <c r="I2" s="4"/>
      <c r="J2" s="4"/>
      <c r="K2" s="4"/>
      <c r="L2" s="4"/>
      <c r="M2" s="4"/>
      <c r="N2" s="4"/>
      <c r="O2" s="4"/>
      <c r="P2" s="4"/>
      <c r="Q2" s="4"/>
      <c r="R2" s="4"/>
      <c r="S2" s="4"/>
    </row>
    <row r="3" spans="2:191" s="3" customFormat="1" ht="14.25" x14ac:dyDescent="0.2">
      <c r="B3" s="2" t="str">
        <f>UPPER(Inv_Name)</f>
        <v>[INVESTMENT NAME]</v>
      </c>
      <c r="C3" s="2"/>
      <c r="D3" s="4"/>
      <c r="E3" s="4"/>
      <c r="F3" s="4"/>
      <c r="G3" s="4"/>
      <c r="H3" s="4"/>
      <c r="I3" s="4"/>
      <c r="J3" s="4"/>
      <c r="K3" s="4"/>
      <c r="L3" s="4"/>
      <c r="M3" s="4"/>
      <c r="N3" s="4"/>
      <c r="O3" s="4"/>
      <c r="P3" s="4"/>
      <c r="Q3" s="4"/>
      <c r="R3" s="4"/>
      <c r="S3" s="4" t="str">
        <f>Inv_Number</f>
        <v>[12345]</v>
      </c>
    </row>
    <row r="4" spans="2:191" ht="17.25" outlineLevel="1" x14ac:dyDescent="0.3">
      <c r="B4" s="97" t="s">
        <v>155</v>
      </c>
      <c r="C4" s="97"/>
      <c r="D4" s="100">
        <v>0</v>
      </c>
      <c r="E4" s="100">
        <v>1</v>
      </c>
      <c r="F4" s="100">
        <f>IF(E4&lt;'Loan Terms'!$H$9,E4+1,"")</f>
        <v>2</v>
      </c>
      <c r="G4" s="100">
        <f>IF(F4&lt;'Loan Terms'!$H$9,F4+1,"")</f>
        <v>3</v>
      </c>
      <c r="H4" s="100">
        <f>IF(G4&lt;'Loan Terms'!$H$9,G4+1,"")</f>
        <v>4</v>
      </c>
      <c r="I4" s="100">
        <f>IF(H4&lt;'Loan Terms'!$H$9,H4+1,"")</f>
        <v>5</v>
      </c>
      <c r="J4" s="100">
        <f>IF(I4&lt;'Loan Terms'!$H$9,I4+1,"")</f>
        <v>6</v>
      </c>
      <c r="K4" s="100">
        <f>IF(J4&lt;'Loan Terms'!$H$9,J4+1,"")</f>
        <v>7</v>
      </c>
      <c r="L4" s="100">
        <f>IF(K4&lt;'Loan Terms'!$H$9,K4+1,"")</f>
        <v>8</v>
      </c>
      <c r="M4" s="100">
        <f>IF(L4&lt;'Loan Terms'!$H$9,L4+1,"")</f>
        <v>9</v>
      </c>
      <c r="N4" s="100">
        <f>IF(M4&lt;'Loan Terms'!$H$9,M4+1,"")</f>
        <v>10</v>
      </c>
      <c r="O4" s="100" t="str">
        <f>IF(N4&lt;'Loan Terms'!$H$9,N4+1,"")</f>
        <v/>
      </c>
      <c r="P4" s="100" t="str">
        <f>IF(O4&lt;'Loan Terms'!$H$9,O4+1,"")</f>
        <v/>
      </c>
      <c r="Q4" s="100" t="str">
        <f>IF(P4&lt;'Loan Terms'!$H$9,P4+1,"")</f>
        <v/>
      </c>
      <c r="R4" s="100" t="str">
        <f>IF(Q4&lt;'Loan Terms'!$H$9,Q4+1,"")</f>
        <v/>
      </c>
      <c r="S4" s="100" t="str">
        <f>IF(R4&lt;'Loan Terms'!$H$9,R4+1,"")</f>
        <v/>
      </c>
      <c r="T4" s="96"/>
      <c r="U4" s="95"/>
      <c r="V4" s="94"/>
      <c r="W4" s="93"/>
      <c r="X4" s="92"/>
      <c r="Y4" s="92"/>
      <c r="Z4" s="91"/>
    </row>
    <row r="5" spans="2:191" ht="17.25" outlineLevel="1" x14ac:dyDescent="0.3">
      <c r="B5" s="132"/>
      <c r="C5" s="132"/>
      <c r="D5" s="133">
        <f>'Loan Terms'!C12</f>
        <v>45094</v>
      </c>
      <c r="E5" s="134">
        <f>IF(E4="","",EDATE(D5,12))</f>
        <v>45460</v>
      </c>
      <c r="F5" s="134">
        <f t="shared" ref="F5:S5" si="0">IF(F4="","",EDATE(E5,12))</f>
        <v>45825</v>
      </c>
      <c r="G5" s="134">
        <f t="shared" si="0"/>
        <v>46190</v>
      </c>
      <c r="H5" s="134">
        <f t="shared" si="0"/>
        <v>46555</v>
      </c>
      <c r="I5" s="134">
        <f t="shared" si="0"/>
        <v>46921</v>
      </c>
      <c r="J5" s="134">
        <f t="shared" si="0"/>
        <v>47286</v>
      </c>
      <c r="K5" s="134">
        <f t="shared" si="0"/>
        <v>47651</v>
      </c>
      <c r="L5" s="134">
        <f t="shared" si="0"/>
        <v>48016</v>
      </c>
      <c r="M5" s="134">
        <f t="shared" si="0"/>
        <v>48382</v>
      </c>
      <c r="N5" s="134">
        <f t="shared" si="0"/>
        <v>48747</v>
      </c>
      <c r="O5" s="134" t="str">
        <f t="shared" si="0"/>
        <v/>
      </c>
      <c r="P5" s="134" t="str">
        <f t="shared" si="0"/>
        <v/>
      </c>
      <c r="Q5" s="134" t="str">
        <f t="shared" si="0"/>
        <v/>
      </c>
      <c r="R5" s="134" t="str">
        <f t="shared" si="0"/>
        <v/>
      </c>
      <c r="S5" s="134" t="str">
        <f t="shared" si="0"/>
        <v/>
      </c>
      <c r="T5" s="135"/>
      <c r="U5" s="136"/>
      <c r="V5" s="137"/>
      <c r="W5" s="138"/>
      <c r="X5" s="139"/>
      <c r="Y5" s="139"/>
      <c r="Z5" s="140"/>
    </row>
    <row r="6" spans="2:191" ht="17.25" outlineLevel="1" x14ac:dyDescent="0.3">
      <c r="B6" s="48" t="s">
        <v>51</v>
      </c>
      <c r="C6" s="48"/>
      <c r="D6" s="141">
        <v>2.5000000000000001E-2</v>
      </c>
      <c r="E6" s="142">
        <f>IF(D4="","",NOI*(1+$D$6))</f>
        <v>691167.81149999995</v>
      </c>
      <c r="F6" s="142">
        <f>IF(E4="","",E6*(1+$D$6))</f>
        <v>708447.00678749988</v>
      </c>
      <c r="G6" s="142">
        <f t="shared" ref="G6:S6" si="1">IF(F4="","",F6*(1+$D$6))</f>
        <v>726158.18195718736</v>
      </c>
      <c r="H6" s="142">
        <f t="shared" si="1"/>
        <v>744312.13650611695</v>
      </c>
      <c r="I6" s="142">
        <f t="shared" si="1"/>
        <v>762919.93991876976</v>
      </c>
      <c r="J6" s="142">
        <f t="shared" si="1"/>
        <v>781992.93841673888</v>
      </c>
      <c r="K6" s="142">
        <f t="shared" si="1"/>
        <v>801542.76187715726</v>
      </c>
      <c r="L6" s="142">
        <f t="shared" si="1"/>
        <v>821581.33092408616</v>
      </c>
      <c r="M6" s="142">
        <f t="shared" si="1"/>
        <v>842120.86419718829</v>
      </c>
      <c r="N6" s="142">
        <f t="shared" si="1"/>
        <v>863173.88580211787</v>
      </c>
      <c r="O6" s="142">
        <f t="shared" si="1"/>
        <v>884753.23294717073</v>
      </c>
      <c r="P6" s="142" t="str">
        <f t="shared" si="1"/>
        <v/>
      </c>
      <c r="Q6" s="142" t="str">
        <f t="shared" si="1"/>
        <v/>
      </c>
      <c r="R6" s="142" t="str">
        <f t="shared" si="1"/>
        <v/>
      </c>
      <c r="S6" s="142" t="str">
        <f t="shared" si="1"/>
        <v/>
      </c>
      <c r="T6" s="135"/>
      <c r="U6" s="136"/>
      <c r="V6" s="137"/>
      <c r="W6" s="138"/>
      <c r="X6" s="139"/>
      <c r="Y6" s="139"/>
      <c r="Z6" s="140"/>
    </row>
    <row r="7" spans="2:191" outlineLevel="1" x14ac:dyDescent="0.3">
      <c r="B7" s="143" t="s">
        <v>154</v>
      </c>
      <c r="C7" s="143"/>
      <c r="D7" s="144"/>
      <c r="E7" s="145">
        <f>IF(E4&lt;='Loan Terms'!$H$10,'Loan Terms'!$H$20*12,'Loan Terms'!$H$19*12)</f>
        <v>396652.9764705883</v>
      </c>
      <c r="F7" s="145">
        <f>IF(F4="","",IF(F4&lt;='Loan Terms'!$H$10,'Loan Terms'!$H$20*12,'Loan Terms'!$H$19*12))</f>
        <v>396652.9764705883</v>
      </c>
      <c r="G7" s="145">
        <f>IF(G4="","",IF(G4&lt;='Loan Terms'!$H$10,'Loan Terms'!$H$20*12,'Loan Terms'!$H$19*12))</f>
        <v>396652.9764705883</v>
      </c>
      <c r="H7" s="145">
        <f>IF(H4="","",IF(H4&lt;='Loan Terms'!$H$10,'Loan Terms'!$H$20*12,'Loan Terms'!$H$19*12))</f>
        <v>396652.9764705883</v>
      </c>
      <c r="I7" s="145">
        <f>IF(I4="","",IF(I4&lt;='Loan Terms'!$H$10,'Loan Terms'!$H$20*12,'Loan Terms'!$H$19*12))</f>
        <v>396652.9764705883</v>
      </c>
      <c r="J7" s="145">
        <f>IF(J4="","",IF(J4&lt;='Loan Terms'!$H$10,'Loan Terms'!$H$20*12,'Loan Terms'!$H$19*12))</f>
        <v>462852.30064682913</v>
      </c>
      <c r="K7" s="145">
        <f>IF(K4="","",IF(K4&lt;='Loan Terms'!$H$10,'Loan Terms'!$H$20*12,'Loan Terms'!$H$19*12))</f>
        <v>462852.30064682913</v>
      </c>
      <c r="L7" s="145">
        <f>IF(L4="","",IF(L4&lt;='Loan Terms'!$H$10,'Loan Terms'!$H$20*12,'Loan Terms'!$H$19*12))</f>
        <v>462852.30064682913</v>
      </c>
      <c r="M7" s="145">
        <f>IF(M4="","",IF(M4&lt;='Loan Terms'!$H$10,'Loan Terms'!$H$20*12,'Loan Terms'!$H$19*12))</f>
        <v>462852.30064682913</v>
      </c>
      <c r="N7" s="145">
        <f>IF(N4="","",IF(N4&lt;='Loan Terms'!$H$10,'Loan Terms'!$H$20*12,'Loan Terms'!$H$19*12))</f>
        <v>462852.30064682913</v>
      </c>
      <c r="O7" s="145" t="str">
        <f>IF(O4="","",IF(O4&lt;='Loan Terms'!$H$10,'Loan Terms'!$H$20*12,'Loan Terms'!$H$19*12))</f>
        <v/>
      </c>
      <c r="P7" s="145" t="str">
        <f>IF(P4="","",IF(P4&lt;='Loan Terms'!$H$10,'Loan Terms'!$H$20*12,'Loan Terms'!$H$19*12))</f>
        <v/>
      </c>
      <c r="Q7" s="145" t="str">
        <f>IF(Q4="","",IF(Q4&lt;='Loan Terms'!$H$10,'Loan Terms'!$H$20*12,'Loan Terms'!$H$19*12))</f>
        <v/>
      </c>
      <c r="R7" s="145" t="str">
        <f>IF(R4="","",IF(R4&lt;='Loan Terms'!$H$10,'Loan Terms'!$H$20*12,'Loan Terms'!$H$19*12))</f>
        <v/>
      </c>
      <c r="S7" s="145" t="str">
        <f>IF(S4="","",IF(S4&lt;='Loan Terms'!$H$10,'Loan Terms'!$H$20*12,'Loan Terms'!$H$19*12))</f>
        <v/>
      </c>
      <c r="T7" s="146"/>
      <c r="U7" s="146"/>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c r="AT7" s="146"/>
      <c r="AU7" s="146"/>
      <c r="AV7" s="146"/>
      <c r="AW7" s="146"/>
      <c r="AX7" s="146"/>
      <c r="AY7" s="146"/>
      <c r="AZ7" s="146"/>
      <c r="BA7" s="146"/>
      <c r="BB7" s="146"/>
      <c r="BC7" s="146"/>
      <c r="BD7" s="146"/>
      <c r="BE7" s="146"/>
      <c r="BF7" s="146"/>
      <c r="BG7" s="146"/>
      <c r="BH7" s="146"/>
      <c r="BI7" s="146"/>
      <c r="BJ7" s="146"/>
      <c r="BK7" s="146"/>
      <c r="BL7" s="146"/>
      <c r="BM7" s="146"/>
      <c r="BN7" s="146"/>
      <c r="BO7" s="146"/>
      <c r="BP7" s="146"/>
      <c r="BQ7" s="146"/>
      <c r="BR7" s="146"/>
      <c r="BS7" s="146"/>
      <c r="BT7" s="146"/>
      <c r="BU7" s="146"/>
      <c r="BV7" s="146"/>
      <c r="BW7" s="146"/>
      <c r="BX7" s="146"/>
      <c r="BY7" s="146"/>
      <c r="BZ7" s="146"/>
      <c r="CA7" s="146"/>
      <c r="CB7" s="146"/>
      <c r="CC7" s="146"/>
      <c r="CD7" s="146"/>
      <c r="CE7" s="146"/>
      <c r="CF7" s="146"/>
      <c r="CG7" s="146"/>
      <c r="CH7" s="146"/>
      <c r="CI7" s="146"/>
      <c r="CJ7" s="146"/>
      <c r="CK7" s="146"/>
      <c r="CL7" s="146"/>
      <c r="CM7" s="146"/>
      <c r="CN7" s="146"/>
      <c r="CO7" s="146"/>
      <c r="CP7" s="146"/>
      <c r="CQ7" s="146"/>
      <c r="CR7" s="146"/>
      <c r="CS7" s="146"/>
      <c r="CT7" s="146"/>
      <c r="CU7" s="146"/>
      <c r="CV7" s="146"/>
      <c r="CW7" s="146"/>
      <c r="CX7" s="146"/>
      <c r="CY7" s="146"/>
      <c r="CZ7" s="146"/>
      <c r="DA7" s="146"/>
      <c r="DB7" s="146"/>
      <c r="DC7" s="146"/>
      <c r="DD7" s="146"/>
      <c r="DE7" s="146"/>
      <c r="DF7" s="146"/>
      <c r="DG7" s="146"/>
      <c r="DH7" s="146"/>
      <c r="DI7" s="146"/>
      <c r="DJ7" s="146"/>
      <c r="DK7" s="146"/>
      <c r="DL7" s="146"/>
      <c r="DM7" s="146"/>
      <c r="DN7" s="146"/>
      <c r="DO7" s="146"/>
      <c r="DP7" s="146"/>
      <c r="DQ7" s="146"/>
      <c r="DR7" s="146"/>
      <c r="DS7" s="146"/>
      <c r="DT7" s="146"/>
      <c r="DU7" s="146"/>
      <c r="DV7" s="146"/>
      <c r="DW7" s="146"/>
      <c r="DX7" s="146"/>
      <c r="DY7" s="146"/>
      <c r="DZ7" s="146"/>
      <c r="EA7" s="146"/>
      <c r="EB7" s="146"/>
      <c r="EC7" s="146"/>
      <c r="ED7" s="146"/>
      <c r="EE7" s="146"/>
      <c r="EF7" s="146"/>
      <c r="EG7" s="146"/>
      <c r="EH7" s="146"/>
      <c r="EI7" s="146"/>
      <c r="EJ7" s="146"/>
      <c r="EK7" s="146"/>
      <c r="EL7" s="146"/>
      <c r="EM7" s="146"/>
      <c r="EN7" s="146"/>
      <c r="EO7" s="146"/>
      <c r="EP7" s="146"/>
      <c r="EQ7" s="146"/>
      <c r="ER7" s="146"/>
      <c r="ES7" s="146"/>
      <c r="ET7" s="146"/>
      <c r="EU7" s="146"/>
      <c r="EV7" s="146"/>
      <c r="EW7" s="146"/>
      <c r="EX7" s="146"/>
      <c r="EY7" s="146"/>
      <c r="EZ7" s="146"/>
      <c r="FA7" s="146"/>
      <c r="FB7" s="146"/>
      <c r="FC7" s="146"/>
      <c r="FD7" s="146"/>
      <c r="FE7" s="146"/>
      <c r="FF7" s="146"/>
      <c r="FG7" s="146"/>
      <c r="FH7" s="146"/>
      <c r="FI7" s="146"/>
      <c r="FJ7" s="146"/>
      <c r="FK7" s="146"/>
      <c r="FL7" s="146"/>
      <c r="FM7" s="146"/>
      <c r="FN7" s="146"/>
      <c r="FO7" s="146"/>
      <c r="FP7" s="146"/>
      <c r="FQ7" s="146"/>
      <c r="FR7" s="146"/>
      <c r="FS7" s="146"/>
      <c r="FT7" s="146"/>
      <c r="FU7" s="146"/>
      <c r="FV7" s="146"/>
      <c r="FW7" s="146"/>
      <c r="FX7" s="146"/>
      <c r="FY7" s="146"/>
      <c r="FZ7" s="146"/>
      <c r="GA7" s="146"/>
      <c r="GB7" s="146"/>
      <c r="GC7" s="146"/>
      <c r="GD7" s="146"/>
      <c r="GE7" s="146"/>
      <c r="GF7" s="146"/>
      <c r="GG7" s="146"/>
      <c r="GH7" s="146"/>
      <c r="GI7" s="146"/>
    </row>
    <row r="8" spans="2:191" outlineLevel="1" x14ac:dyDescent="0.3">
      <c r="B8" s="147" t="s">
        <v>153</v>
      </c>
      <c r="C8" s="147"/>
      <c r="D8" s="148"/>
      <c r="E8" s="149">
        <f>E6-E7</f>
        <v>294514.83502941165</v>
      </c>
      <c r="F8" s="149">
        <f>IF(F4="","",F6-F7)</f>
        <v>311794.03031691158</v>
      </c>
      <c r="G8" s="149">
        <f t="shared" ref="G8:S8" si="2">IF(G4="","",G6-G7)</f>
        <v>329505.20548659906</v>
      </c>
      <c r="H8" s="149">
        <f t="shared" si="2"/>
        <v>347659.16003552865</v>
      </c>
      <c r="I8" s="149">
        <f t="shared" si="2"/>
        <v>366266.96344818146</v>
      </c>
      <c r="J8" s="149">
        <f t="shared" si="2"/>
        <v>319140.63776990975</v>
      </c>
      <c r="K8" s="149">
        <f t="shared" si="2"/>
        <v>338690.46123032813</v>
      </c>
      <c r="L8" s="149">
        <f t="shared" si="2"/>
        <v>358729.03027725703</v>
      </c>
      <c r="M8" s="149">
        <f t="shared" si="2"/>
        <v>379268.56355035916</v>
      </c>
      <c r="N8" s="149">
        <f t="shared" si="2"/>
        <v>400321.58515528875</v>
      </c>
      <c r="O8" s="149" t="str">
        <f t="shared" si="2"/>
        <v/>
      </c>
      <c r="P8" s="149" t="str">
        <f t="shared" si="2"/>
        <v/>
      </c>
      <c r="Q8" s="149" t="str">
        <f t="shared" si="2"/>
        <v/>
      </c>
      <c r="R8" s="149" t="str">
        <f t="shared" si="2"/>
        <v/>
      </c>
      <c r="S8" s="149" t="str">
        <f t="shared" si="2"/>
        <v/>
      </c>
      <c r="T8" s="146"/>
      <c r="U8" s="146"/>
      <c r="V8" s="146"/>
      <c r="W8" s="146"/>
      <c r="X8" s="146"/>
      <c r="Y8" s="146"/>
      <c r="Z8" s="146"/>
      <c r="AA8" s="146"/>
      <c r="AB8" s="146"/>
      <c r="AC8" s="146"/>
      <c r="AD8" s="146"/>
      <c r="AE8" s="146"/>
      <c r="AF8" s="146"/>
      <c r="AG8" s="146"/>
      <c r="AH8" s="146"/>
      <c r="AI8" s="146"/>
      <c r="AJ8" s="146"/>
      <c r="AK8" s="146"/>
      <c r="AL8" s="146"/>
      <c r="AM8" s="146"/>
      <c r="AN8" s="146"/>
      <c r="AO8" s="146"/>
      <c r="AP8" s="146"/>
      <c r="AQ8" s="146"/>
      <c r="AR8" s="146"/>
      <c r="AS8" s="146"/>
      <c r="AT8" s="146"/>
      <c r="AU8" s="146"/>
      <c r="AV8" s="146"/>
      <c r="AW8" s="146"/>
      <c r="AX8" s="146"/>
      <c r="AY8" s="146"/>
      <c r="AZ8" s="146"/>
      <c r="BA8" s="146"/>
      <c r="BB8" s="146"/>
      <c r="BC8" s="146"/>
      <c r="BD8" s="146"/>
      <c r="BE8" s="146"/>
      <c r="BF8" s="146"/>
      <c r="BG8" s="146"/>
      <c r="BH8" s="146"/>
      <c r="BI8" s="146"/>
      <c r="BJ8" s="146"/>
      <c r="BK8" s="146"/>
      <c r="BL8" s="146"/>
      <c r="BM8" s="146"/>
      <c r="BN8" s="146"/>
      <c r="BO8" s="146"/>
      <c r="BP8" s="146"/>
      <c r="BQ8" s="146"/>
      <c r="BR8" s="146"/>
      <c r="BS8" s="146"/>
      <c r="BT8" s="146"/>
      <c r="BU8" s="146"/>
      <c r="BV8" s="146"/>
      <c r="BW8" s="146"/>
      <c r="BX8" s="146"/>
      <c r="BY8" s="146"/>
      <c r="BZ8" s="146"/>
      <c r="CA8" s="146"/>
      <c r="CB8" s="146"/>
      <c r="CC8" s="146"/>
      <c r="CD8" s="146"/>
      <c r="CE8" s="146"/>
      <c r="CF8" s="146"/>
      <c r="CG8" s="146"/>
      <c r="CH8" s="146"/>
      <c r="CI8" s="146"/>
      <c r="CJ8" s="146"/>
      <c r="CK8" s="146"/>
      <c r="CL8" s="146"/>
      <c r="CM8" s="146"/>
      <c r="CN8" s="146"/>
      <c r="CO8" s="146"/>
      <c r="CP8" s="146"/>
      <c r="CQ8" s="146"/>
      <c r="CR8" s="146"/>
      <c r="CS8" s="146"/>
      <c r="CT8" s="146"/>
      <c r="CU8" s="146"/>
      <c r="CV8" s="146"/>
      <c r="CW8" s="146"/>
      <c r="CX8" s="146"/>
      <c r="CY8" s="146"/>
      <c r="CZ8" s="146"/>
      <c r="DA8" s="146"/>
      <c r="DB8" s="146"/>
      <c r="DC8" s="146"/>
      <c r="DD8" s="146"/>
      <c r="DE8" s="146"/>
      <c r="DF8" s="146"/>
      <c r="DG8" s="146"/>
      <c r="DH8" s="146"/>
      <c r="DI8" s="146"/>
      <c r="DJ8" s="146"/>
      <c r="DK8" s="146"/>
      <c r="DL8" s="146"/>
      <c r="DM8" s="146"/>
      <c r="DN8" s="146"/>
      <c r="DO8" s="146"/>
      <c r="DP8" s="146"/>
      <c r="DQ8" s="146"/>
      <c r="DR8" s="146"/>
      <c r="DS8" s="146"/>
      <c r="DT8" s="146"/>
      <c r="DU8" s="146"/>
      <c r="DV8" s="146"/>
      <c r="DW8" s="146"/>
      <c r="DX8" s="146"/>
      <c r="DY8" s="146"/>
      <c r="DZ8" s="146"/>
      <c r="EA8" s="146"/>
      <c r="EB8" s="146"/>
      <c r="EC8" s="146"/>
      <c r="ED8" s="146"/>
      <c r="EE8" s="146"/>
      <c r="EF8" s="146"/>
      <c r="EG8" s="146"/>
      <c r="EH8" s="146"/>
      <c r="EI8" s="146"/>
      <c r="EJ8" s="146"/>
      <c r="EK8" s="146"/>
      <c r="EL8" s="146"/>
      <c r="EM8" s="146"/>
      <c r="EN8" s="146"/>
      <c r="EO8" s="146"/>
      <c r="EP8" s="146"/>
      <c r="EQ8" s="146"/>
      <c r="ER8" s="146"/>
      <c r="ES8" s="146"/>
      <c r="ET8" s="146"/>
      <c r="EU8" s="146"/>
      <c r="EV8" s="146"/>
      <c r="EW8" s="146"/>
      <c r="EX8" s="146"/>
      <c r="EY8" s="146"/>
      <c r="EZ8" s="146"/>
      <c r="FA8" s="146"/>
      <c r="FB8" s="146"/>
      <c r="FC8" s="146"/>
      <c r="FD8" s="146"/>
      <c r="FE8" s="146"/>
      <c r="FF8" s="146"/>
      <c r="FG8" s="146"/>
      <c r="FH8" s="146"/>
      <c r="FI8" s="146"/>
      <c r="FJ8" s="146"/>
      <c r="FK8" s="146"/>
      <c r="FL8" s="146"/>
      <c r="FM8" s="146"/>
      <c r="FN8" s="146"/>
      <c r="FO8" s="146"/>
      <c r="FP8" s="146"/>
      <c r="FQ8" s="146"/>
      <c r="FR8" s="146"/>
      <c r="FS8" s="146"/>
      <c r="FT8" s="146"/>
      <c r="FU8" s="146"/>
      <c r="FV8" s="146"/>
      <c r="FW8" s="146"/>
      <c r="FX8" s="146"/>
      <c r="FY8" s="146"/>
      <c r="FZ8" s="146"/>
      <c r="GA8" s="146"/>
      <c r="GB8" s="146"/>
      <c r="GC8" s="146"/>
      <c r="GD8" s="146"/>
      <c r="GE8" s="146"/>
      <c r="GF8" s="146"/>
      <c r="GG8" s="146"/>
      <c r="GH8" s="146"/>
      <c r="GI8" s="146"/>
    </row>
    <row r="9" spans="2:191" ht="4.9000000000000004" customHeight="1" outlineLevel="1" x14ac:dyDescent="0.3">
      <c r="B9" s="150"/>
      <c r="C9" s="150"/>
      <c r="D9" s="151"/>
      <c r="E9" s="102"/>
      <c r="F9" s="102"/>
      <c r="G9" s="102"/>
      <c r="H9" s="102"/>
      <c r="I9" s="102"/>
      <c r="J9" s="102"/>
      <c r="K9" s="102"/>
      <c r="L9" s="102"/>
      <c r="M9" s="102"/>
      <c r="N9" s="102"/>
      <c r="O9" s="102"/>
      <c r="P9" s="102"/>
      <c r="Q9" s="102"/>
      <c r="R9" s="102"/>
      <c r="S9" s="102"/>
    </row>
    <row r="10" spans="2:191" outlineLevel="1" x14ac:dyDescent="0.3">
      <c r="B10" s="48" t="s">
        <v>152</v>
      </c>
      <c r="C10" s="48"/>
      <c r="D10" s="11" t="s">
        <v>157</v>
      </c>
      <c r="E10" s="102"/>
      <c r="F10" s="102"/>
      <c r="G10" s="152"/>
      <c r="H10" s="102"/>
      <c r="I10" s="102"/>
      <c r="J10" s="102"/>
      <c r="K10" s="102"/>
      <c r="L10" s="102"/>
      <c r="M10" s="102"/>
      <c r="N10" s="102"/>
      <c r="O10" s="102"/>
      <c r="P10" s="102"/>
      <c r="Q10" s="102"/>
      <c r="R10" s="102"/>
      <c r="S10" s="102"/>
    </row>
    <row r="11" spans="2:191" outlineLevel="1" x14ac:dyDescent="0.3">
      <c r="B11" s="98" t="s">
        <v>151</v>
      </c>
      <c r="C11" s="98"/>
      <c r="D11" s="153">
        <v>5</v>
      </c>
      <c r="E11" s="108">
        <f>IF(E4="","",'Pro Forma'!$Q$35+$D$11*E4/10000)</f>
        <v>5.5500000000000001E-2</v>
      </c>
      <c r="F11" s="108">
        <f>IF(F4="","",'Pro Forma'!$Q$35+$D$11*F4/10000)</f>
        <v>5.6000000000000001E-2</v>
      </c>
      <c r="G11" s="108">
        <f>IF(G4="","",'Pro Forma'!$Q$35+$D$11*G4/10000)</f>
        <v>5.6500000000000002E-2</v>
      </c>
      <c r="H11" s="108">
        <f>IF(H4="","",'Pro Forma'!$Q$35+$D$11*H4/10000)</f>
        <v>5.7000000000000002E-2</v>
      </c>
      <c r="I11" s="108">
        <f>IF(I4="","",'Pro Forma'!$Q$35+$D$11*I4/10000)</f>
        <v>5.7500000000000002E-2</v>
      </c>
      <c r="J11" s="108">
        <f>IF(J4="","",'Pro Forma'!$Q$35+$D$11*J4/10000)</f>
        <v>5.8000000000000003E-2</v>
      </c>
      <c r="K11" s="108">
        <f>IF(K4="","",'Pro Forma'!$Q$35+$D$11*K4/10000)</f>
        <v>5.8500000000000003E-2</v>
      </c>
      <c r="L11" s="108">
        <f>IF(L4="","",'Pro Forma'!$Q$35+$D$11*L4/10000)</f>
        <v>5.8999999999999997E-2</v>
      </c>
      <c r="M11" s="108">
        <f>IF(M4="","",'Pro Forma'!$Q$35+$D$11*M4/10000)</f>
        <v>5.9499999999999997E-2</v>
      </c>
      <c r="N11" s="108">
        <f>IF(N4="","",'Pro Forma'!$Q$35+$D$11*N4/10000)</f>
        <v>0.06</v>
      </c>
      <c r="O11" s="108" t="str">
        <f>IF(O4="","",'Pro Forma'!$Q$35+$D$11*O4/10000)</f>
        <v/>
      </c>
      <c r="P11" s="108" t="str">
        <f>IF(P4="","",'Pro Forma'!$Q$35+$D$11*P4/10000)</f>
        <v/>
      </c>
      <c r="Q11" s="108" t="str">
        <f>IF(Q4="","",'Pro Forma'!$Q$35+$D$11*Q4/10000)</f>
        <v/>
      </c>
      <c r="R11" s="108" t="str">
        <f>IF(R4="","",'Pro Forma'!$Q$35+$D$11*R4/10000)</f>
        <v/>
      </c>
      <c r="S11" s="108" t="str">
        <f>IF(S4="","",'Pro Forma'!$Q$35+$D$11*S4/10000)</f>
        <v/>
      </c>
    </row>
    <row r="12" spans="2:191" outlineLevel="1" x14ac:dyDescent="0.3">
      <c r="B12" s="23" t="s">
        <v>158</v>
      </c>
      <c r="C12" s="23"/>
      <c r="D12" s="154"/>
      <c r="E12" s="86">
        <f>IF(E4="","",MAX(E6:F6)/E11)</f>
        <v>12764810.933108106</v>
      </c>
      <c r="F12" s="86">
        <f t="shared" ref="F12:S12" si="3">IF(F4="","",MAX(F6:G6)/F11)</f>
        <v>12967110.392092632</v>
      </c>
      <c r="G12" s="86">
        <f t="shared" si="3"/>
        <v>13173666.132851627</v>
      </c>
      <c r="H12" s="86">
        <f t="shared" si="3"/>
        <v>13384560.349452101</v>
      </c>
      <c r="I12" s="86">
        <f t="shared" si="3"/>
        <v>13599877.189856328</v>
      </c>
      <c r="J12" s="86">
        <f t="shared" si="3"/>
        <v>13819702.790985469</v>
      </c>
      <c r="K12" s="86">
        <f t="shared" si="3"/>
        <v>14044125.314941643</v>
      </c>
      <c r="L12" s="86">
        <f t="shared" si="3"/>
        <v>14273234.986393023</v>
      </c>
      <c r="M12" s="86">
        <f t="shared" si="3"/>
        <v>14507124.131128032</v>
      </c>
      <c r="N12" s="86">
        <f t="shared" si="3"/>
        <v>14745887.21578618</v>
      </c>
      <c r="O12" s="86" t="str">
        <f t="shared" si="3"/>
        <v/>
      </c>
      <c r="P12" s="86" t="str">
        <f t="shared" si="3"/>
        <v/>
      </c>
      <c r="Q12" s="86" t="str">
        <f t="shared" si="3"/>
        <v/>
      </c>
      <c r="R12" s="86" t="str">
        <f t="shared" si="3"/>
        <v/>
      </c>
      <c r="S12" s="86" t="str">
        <f t="shared" si="3"/>
        <v/>
      </c>
    </row>
    <row r="13" spans="2:191" outlineLevel="1" x14ac:dyDescent="0.3">
      <c r="B13" s="155" t="s">
        <v>224</v>
      </c>
      <c r="C13" s="155"/>
      <c r="D13" s="156"/>
      <c r="E13" s="107">
        <f>IF(E4="","",(INDEX(Amortization!$G$6:$G$605,E4*12,1)+INDEX(Amortization!$J$6:$J$605,E4*12,1))-INDEX(Amortization!$H$6:$H$605,E4*12,1))</f>
        <v>6102353.4841628969</v>
      </c>
      <c r="F13" s="107">
        <f>IF(F4="","",(INDEX(Amortization!$G$6:$G$605,F4*12,1)+INDEX(Amortization!$J$6:$J$605,F4*12,1))-INDEX(Amortization!$H$6:$H$605,F4*12,1))</f>
        <v>6102353.4841628969</v>
      </c>
      <c r="G13" s="107">
        <f>IF(G4="","",(INDEX(Amortization!$G$6:$G$605,G4*12,1)+INDEX(Amortization!$J$6:$J$605,G4*12,1))-INDEX(Amortization!$H$6:$H$605,G4*12,1))</f>
        <v>6102353.4841628969</v>
      </c>
      <c r="H13" s="107">
        <f>IF(H4="","",(INDEX(Amortization!$G$6:$G$605,H4*12,1)+INDEX(Amortization!$J$6:$J$605,H4*12,1))-INDEX(Amortization!$H$6:$H$605,H4*12,1))</f>
        <v>6102353.4841628969</v>
      </c>
      <c r="I13" s="107">
        <f>IF(I4="","",(INDEX(Amortization!$G$6:$G$605,I4*12,1)+INDEX(Amortization!$J$6:$J$605,I4*12,1))-INDEX(Amortization!$H$6:$H$605,I4*12,1))</f>
        <v>6102353.4841628969</v>
      </c>
      <c r="J13" s="107">
        <f>IF(J4="","",(INDEX(Amortization!$G$6:$G$605,J4*12,1)+INDEX(Amortization!$J$6:$J$605,J4*12,1))-INDEX(Amortization!$H$6:$H$605,J4*12,1))</f>
        <v>6034145.9250644427</v>
      </c>
      <c r="K13" s="107">
        <f>IF(K4="","",(INDEX(Amortization!$G$6:$G$605,K4*12,1)+INDEX(Amortization!$J$6:$J$605,K4*12,1))-INDEX(Amortization!$H$6:$H$605,K4*12,1))</f>
        <v>5961370.3794125924</v>
      </c>
      <c r="L13" s="107">
        <f>IF(L4="","",(INDEX(Amortization!$G$6:$G$605,L4*12,1)+INDEX(Amortization!$J$6:$J$605,L4*12,1))-INDEX(Amortization!$H$6:$H$605,L4*12,1))</f>
        <v>5883720.9206879409</v>
      </c>
      <c r="M13" s="107">
        <f>IF(M4="","",(INDEX(Amortization!$G$6:$G$605,M4*12,1)+INDEX(Amortization!$J$6:$J$605,M4*12,1))-INDEX(Amortization!$H$6:$H$605,M4*12,1))</f>
        <v>5800871.1339055039</v>
      </c>
      <c r="N13" s="107">
        <f>IF(N4="","",(INDEX(Amortization!$G$6:$G$605,N4*12,1)+INDEX(Amortization!$J$6:$J$605,N4*12,1))-INDEX(Amortization!$H$6:$H$605,N4*12,1))</f>
        <v>5712472.7434642306</v>
      </c>
      <c r="O13" s="107" t="str">
        <f>IF(O4="","",(INDEX(Amortization!$G$6:$G$605,O4*12,1)+INDEX(Amortization!$J$6:$J$605,O4*12,1))-INDEX(Amortization!$H$6:$H$605,O4*12,1))</f>
        <v/>
      </c>
      <c r="P13" s="107" t="str">
        <f>IF(P4="","",(INDEX(Amortization!$G$6:$G$605,P4*12,1)+INDEX(Amortization!$J$6:$J$605,P4*12,1))-INDEX(Amortization!$H$6:$H$605,P4*12,1))</f>
        <v/>
      </c>
      <c r="Q13" s="107" t="str">
        <f>IF(Q4="","",(INDEX(Amortization!$G$6:$G$605,Q4*12,1)+INDEX(Amortization!$J$6:$J$605,Q4*12,1))-INDEX(Amortization!$H$6:$H$605,Q4*12,1))</f>
        <v/>
      </c>
      <c r="R13" s="107" t="str">
        <f>IF(R4="","",(INDEX(Amortization!$G$6:$G$605,R4*12,1)+INDEX(Amortization!$J$6:$J$605,R4*12,1))-INDEX(Amortization!$H$6:$H$605,R4*12,1))</f>
        <v/>
      </c>
      <c r="S13" s="107" t="str">
        <f>IF(S4="","",(INDEX(Amortization!$G$6:$G$605,S4*12,1)+INDEX(Amortization!$J$6:$J$605,S4*12,1))-INDEX(Amortization!$H$6:$H$605,S4*12,1))</f>
        <v/>
      </c>
    </row>
    <row r="14" spans="2:191" outlineLevel="1" x14ac:dyDescent="0.3">
      <c r="B14" s="157" t="s">
        <v>150</v>
      </c>
      <c r="C14" s="157"/>
      <c r="D14" s="158"/>
      <c r="E14" s="159">
        <f>IF(E4="","",E12-E13)</f>
        <v>6662457.4489452094</v>
      </c>
      <c r="F14" s="159">
        <f t="shared" ref="F14:S14" si="4">IF(F4="","",F12-F13)</f>
        <v>6864756.9079297353</v>
      </c>
      <c r="G14" s="159">
        <f t="shared" si="4"/>
        <v>7071312.6486887299</v>
      </c>
      <c r="H14" s="159">
        <f t="shared" si="4"/>
        <v>7282206.8652892038</v>
      </c>
      <c r="I14" s="159">
        <f t="shared" si="4"/>
        <v>7497523.7056934312</v>
      </c>
      <c r="J14" s="159">
        <f t="shared" si="4"/>
        <v>7785556.8659210261</v>
      </c>
      <c r="K14" s="159">
        <f t="shared" si="4"/>
        <v>8082754.9355290504</v>
      </c>
      <c r="L14" s="159">
        <f t="shared" si="4"/>
        <v>8389514.0657050833</v>
      </c>
      <c r="M14" s="159">
        <f t="shared" si="4"/>
        <v>8706252.9972225279</v>
      </c>
      <c r="N14" s="159">
        <f t="shared" si="4"/>
        <v>9033414.4723219499</v>
      </c>
      <c r="O14" s="159" t="str">
        <f t="shared" si="4"/>
        <v/>
      </c>
      <c r="P14" s="159" t="str">
        <f t="shared" si="4"/>
        <v/>
      </c>
      <c r="Q14" s="159" t="str">
        <f t="shared" si="4"/>
        <v/>
      </c>
      <c r="R14" s="159" t="str">
        <f t="shared" si="4"/>
        <v/>
      </c>
      <c r="S14" s="159" t="str">
        <f t="shared" si="4"/>
        <v/>
      </c>
    </row>
    <row r="15" spans="2:191" ht="4.9000000000000004" customHeight="1" outlineLevel="1" x14ac:dyDescent="0.3">
      <c r="B15" s="98"/>
      <c r="C15" s="98"/>
      <c r="D15" s="7"/>
      <c r="E15" s="160"/>
      <c r="F15" s="160"/>
      <c r="G15" s="160"/>
      <c r="H15" s="160"/>
      <c r="I15" s="160"/>
      <c r="J15" s="160"/>
      <c r="K15" s="160"/>
      <c r="L15" s="160"/>
      <c r="M15" s="160"/>
      <c r="N15" s="160"/>
      <c r="O15" s="160"/>
      <c r="P15" s="160"/>
      <c r="Q15" s="160"/>
      <c r="R15" s="160"/>
      <c r="S15" s="160"/>
    </row>
    <row r="16" spans="2:191" outlineLevel="1" x14ac:dyDescent="0.3">
      <c r="B16" s="48" t="s">
        <v>149</v>
      </c>
      <c r="C16" s="48"/>
      <c r="D16" s="7"/>
      <c r="E16" s="102"/>
      <c r="F16" s="102"/>
      <c r="G16" s="152"/>
      <c r="H16" s="102"/>
      <c r="I16" s="102"/>
      <c r="J16" s="102"/>
      <c r="K16" s="102"/>
      <c r="L16" s="102"/>
      <c r="M16" s="102"/>
      <c r="N16" s="102"/>
      <c r="O16" s="102"/>
      <c r="P16" s="102"/>
      <c r="Q16" s="102"/>
      <c r="R16" s="102"/>
      <c r="S16" s="102"/>
    </row>
    <row r="17" spans="2:19" outlineLevel="1" x14ac:dyDescent="0.3">
      <c r="B17" s="98" t="s">
        <v>148</v>
      </c>
      <c r="C17" s="98"/>
      <c r="D17" s="161"/>
      <c r="E17" s="161">
        <f>IF(E4="","",E6/E7)</f>
        <v>1.7424999999999995</v>
      </c>
      <c r="F17" s="161">
        <f t="shared" ref="F17:S17" si="5">IF(F4="","",F6/F7)</f>
        <v>1.7860624999999994</v>
      </c>
      <c r="G17" s="161">
        <f t="shared" si="5"/>
        <v>1.8307140624999994</v>
      </c>
      <c r="H17" s="161">
        <f t="shared" si="5"/>
        <v>1.8764819140624991</v>
      </c>
      <c r="I17" s="161">
        <f t="shared" si="5"/>
        <v>1.9233939619140612</v>
      </c>
      <c r="J17" s="161">
        <f t="shared" si="5"/>
        <v>1.6895085912372381</v>
      </c>
      <c r="K17" s="161">
        <f t="shared" si="5"/>
        <v>1.7317463060181688</v>
      </c>
      <c r="L17" s="161">
        <f t="shared" si="5"/>
        <v>1.7750399636686229</v>
      </c>
      <c r="M17" s="161">
        <f t="shared" si="5"/>
        <v>1.8194159627603386</v>
      </c>
      <c r="N17" s="161">
        <f t="shared" si="5"/>
        <v>1.8649013618293468</v>
      </c>
      <c r="O17" s="161" t="str">
        <f t="shared" si="5"/>
        <v/>
      </c>
      <c r="P17" s="161" t="str">
        <f t="shared" si="5"/>
        <v/>
      </c>
      <c r="Q17" s="161" t="str">
        <f t="shared" si="5"/>
        <v/>
      </c>
      <c r="R17" s="161" t="str">
        <f t="shared" si="5"/>
        <v/>
      </c>
      <c r="S17" s="161" t="str">
        <f t="shared" si="5"/>
        <v/>
      </c>
    </row>
    <row r="18" spans="2:19" outlineLevel="1" x14ac:dyDescent="0.3">
      <c r="B18" s="98" t="s">
        <v>147</v>
      </c>
      <c r="C18" s="98"/>
      <c r="D18" s="162"/>
      <c r="E18" s="162">
        <f>IF(E4="","",E13/E12)</f>
        <v>0.47806062433210156</v>
      </c>
      <c r="F18" s="162">
        <f t="shared" ref="F18:S18" si="6">IF(F4="","",F13/F12)</f>
        <v>0.47060241639371891</v>
      </c>
      <c r="G18" s="162">
        <f t="shared" si="6"/>
        <v>0.46322363286141333</v>
      </c>
      <c r="H18" s="162">
        <f t="shared" si="6"/>
        <v>0.45592483614246604</v>
      </c>
      <c r="I18" s="162">
        <f t="shared" si="6"/>
        <v>0.44870651396134875</v>
      </c>
      <c r="J18" s="162">
        <f t="shared" si="6"/>
        <v>0.4366335525681847</v>
      </c>
      <c r="K18" s="162">
        <f t="shared" si="6"/>
        <v>0.4244743083480072</v>
      </c>
      <c r="L18" s="162">
        <f t="shared" si="6"/>
        <v>0.41222056011107616</v>
      </c>
      <c r="M18" s="162">
        <f t="shared" si="6"/>
        <v>0.39986361745251331</v>
      </c>
      <c r="N18" s="162">
        <f t="shared" si="6"/>
        <v>0.38739430594238877</v>
      </c>
      <c r="O18" s="162" t="str">
        <f t="shared" si="6"/>
        <v/>
      </c>
      <c r="P18" s="162" t="str">
        <f t="shared" si="6"/>
        <v/>
      </c>
      <c r="Q18" s="162" t="str">
        <f t="shared" si="6"/>
        <v/>
      </c>
      <c r="R18" s="162" t="str">
        <f t="shared" si="6"/>
        <v/>
      </c>
      <c r="S18" s="162" t="str">
        <f t="shared" si="6"/>
        <v/>
      </c>
    </row>
    <row r="19" spans="2:19" outlineLevel="1" x14ac:dyDescent="0.3">
      <c r="B19" s="99" t="s">
        <v>96</v>
      </c>
      <c r="C19" s="99"/>
      <c r="D19" s="163"/>
      <c r="E19" s="163">
        <f>IF(E4="","",E6/E13)</f>
        <v>0.11326249999999997</v>
      </c>
      <c r="F19" s="163">
        <f t="shared" ref="F19:S19" si="7">IF(F4="","",F6/F13)</f>
        <v>0.11609406249999996</v>
      </c>
      <c r="G19" s="163">
        <f t="shared" si="7"/>
        <v>0.11899641406249996</v>
      </c>
      <c r="H19" s="163">
        <f t="shared" si="7"/>
        <v>0.12197132441406244</v>
      </c>
      <c r="I19" s="163">
        <f t="shared" si="7"/>
        <v>0.12502060752441399</v>
      </c>
      <c r="J19" s="163">
        <f t="shared" si="7"/>
        <v>0.12959463495380871</v>
      </c>
      <c r="K19" s="163">
        <f t="shared" si="7"/>
        <v>0.134456125162976</v>
      </c>
      <c r="L19" s="163">
        <f t="shared" si="7"/>
        <v>0.13963635291322155</v>
      </c>
      <c r="M19" s="163">
        <f t="shared" si="7"/>
        <v>0.14517144834938275</v>
      </c>
      <c r="N19" s="163">
        <f t="shared" si="7"/>
        <v>0.15110337056569673</v>
      </c>
      <c r="O19" s="163" t="str">
        <f t="shared" si="7"/>
        <v/>
      </c>
      <c r="P19" s="163" t="str">
        <f t="shared" si="7"/>
        <v/>
      </c>
      <c r="Q19" s="163" t="str">
        <f t="shared" si="7"/>
        <v/>
      </c>
      <c r="R19" s="163" t="str">
        <f t="shared" si="7"/>
        <v/>
      </c>
      <c r="S19" s="163" t="str">
        <f t="shared" si="7"/>
        <v/>
      </c>
    </row>
    <row r="20" spans="2:19" ht="4.9000000000000004" customHeight="1" outlineLevel="1" x14ac:dyDescent="0.3">
      <c r="B20" s="98"/>
      <c r="C20" s="98"/>
      <c r="D20" s="7"/>
      <c r="E20" s="160"/>
      <c r="F20" s="160"/>
      <c r="G20" s="160"/>
      <c r="H20" s="160"/>
      <c r="I20" s="160"/>
      <c r="J20" s="160"/>
      <c r="K20" s="160"/>
      <c r="L20" s="160"/>
      <c r="M20" s="160"/>
      <c r="N20" s="160"/>
      <c r="O20" s="160"/>
      <c r="P20" s="160"/>
      <c r="Q20" s="160"/>
      <c r="R20" s="160"/>
      <c r="S20" s="160"/>
    </row>
    <row r="21" spans="2:19" outlineLevel="1" x14ac:dyDescent="0.3">
      <c r="B21" s="48" t="s">
        <v>146</v>
      </c>
      <c r="C21" s="48"/>
      <c r="D21" s="7"/>
      <c r="E21" s="102"/>
      <c r="F21" s="102"/>
      <c r="G21" s="102"/>
      <c r="H21" s="102"/>
      <c r="I21" s="102"/>
      <c r="J21" s="102"/>
      <c r="K21" s="102"/>
      <c r="L21" s="102"/>
      <c r="M21" s="102"/>
      <c r="N21" s="102"/>
      <c r="O21" s="102"/>
      <c r="P21" s="102"/>
      <c r="Q21" s="102"/>
      <c r="R21" s="102"/>
      <c r="S21" s="102"/>
    </row>
    <row r="22" spans="2:19" outlineLevel="1" x14ac:dyDescent="0.3">
      <c r="B22" s="98" t="s">
        <v>145</v>
      </c>
      <c r="C22" s="98"/>
      <c r="D22" s="7"/>
      <c r="E22" s="108">
        <f>IF(E4="","",'Loan Terms'!$H$36)</f>
        <v>0.6</v>
      </c>
      <c r="F22" s="108">
        <f>IF(F4="","",'Loan Terms'!$H$36)</f>
        <v>0.6</v>
      </c>
      <c r="G22" s="108">
        <f>IF(G4="","",'Loan Terms'!$H$36)</f>
        <v>0.6</v>
      </c>
      <c r="H22" s="108">
        <f>IF(H4="","",'Loan Terms'!$H$36)</f>
        <v>0.6</v>
      </c>
      <c r="I22" s="108">
        <f>IF(I4="","",'Loan Terms'!$H$36)</f>
        <v>0.6</v>
      </c>
      <c r="J22" s="108">
        <f>IF(J4="","",'Loan Terms'!$H$36)</f>
        <v>0.6</v>
      </c>
      <c r="K22" s="108">
        <f>IF(K4="","",'Loan Terms'!$H$36)</f>
        <v>0.6</v>
      </c>
      <c r="L22" s="108">
        <f>IF(L4="","",'Loan Terms'!$H$36)</f>
        <v>0.6</v>
      </c>
      <c r="M22" s="108">
        <f>IF(M4="","",'Loan Terms'!$H$36)</f>
        <v>0.6</v>
      </c>
      <c r="N22" s="108">
        <f>IF(N4="","",'Loan Terms'!$H$36)</f>
        <v>0.6</v>
      </c>
      <c r="O22" s="108" t="str">
        <f>IF(O4="","",'Loan Terms'!$H$36)</f>
        <v/>
      </c>
      <c r="P22" s="108" t="str">
        <f>IF(P4="","",'Loan Terms'!$H$36)</f>
        <v/>
      </c>
      <c r="Q22" s="108" t="str">
        <f>IF(Q4="","",'Loan Terms'!$H$36)</f>
        <v/>
      </c>
      <c r="R22" s="108" t="str">
        <f>IF(R4="","",'Loan Terms'!$H$36)</f>
        <v/>
      </c>
      <c r="S22" s="108" t="str">
        <f>IF(S4="","",'Loan Terms'!$H$36)</f>
        <v/>
      </c>
    </row>
    <row r="23" spans="2:19" outlineLevel="1" x14ac:dyDescent="0.3">
      <c r="B23" s="98" t="s">
        <v>144</v>
      </c>
      <c r="C23" s="98"/>
      <c r="D23" s="7"/>
      <c r="E23" s="86">
        <f>IF(E4="","",E12*E22)</f>
        <v>7658886.5598648638</v>
      </c>
      <c r="F23" s="86">
        <f t="shared" ref="F23:S23" si="8">IF(F4="","",F12*F22)</f>
        <v>7780266.2352555785</v>
      </c>
      <c r="G23" s="86">
        <f t="shared" si="8"/>
        <v>7904199.6797109758</v>
      </c>
      <c r="H23" s="86">
        <f t="shared" si="8"/>
        <v>8030736.2096712599</v>
      </c>
      <c r="I23" s="86">
        <f t="shared" si="8"/>
        <v>8159926.3139137961</v>
      </c>
      <c r="J23" s="86">
        <f t="shared" si="8"/>
        <v>8291821.6745912805</v>
      </c>
      <c r="K23" s="86">
        <f t="shared" si="8"/>
        <v>8426475.1889649853</v>
      </c>
      <c r="L23" s="86">
        <f t="shared" si="8"/>
        <v>8563940.991835814</v>
      </c>
      <c r="M23" s="86">
        <f t="shared" si="8"/>
        <v>8704274.4786768183</v>
      </c>
      <c r="N23" s="86">
        <f t="shared" si="8"/>
        <v>8847532.3294717073</v>
      </c>
      <c r="O23" s="86" t="str">
        <f t="shared" si="8"/>
        <v/>
      </c>
      <c r="P23" s="86" t="str">
        <f t="shared" si="8"/>
        <v/>
      </c>
      <c r="Q23" s="86" t="str">
        <f t="shared" si="8"/>
        <v/>
      </c>
      <c r="R23" s="86" t="str">
        <f t="shared" si="8"/>
        <v/>
      </c>
      <c r="S23" s="86" t="str">
        <f t="shared" si="8"/>
        <v/>
      </c>
    </row>
    <row r="24" spans="2:19" ht="4.9000000000000004" customHeight="1" outlineLevel="1" x14ac:dyDescent="0.3">
      <c r="B24" s="98"/>
      <c r="C24" s="98"/>
      <c r="D24" s="7"/>
      <c r="E24" s="101"/>
      <c r="F24" s="164"/>
      <c r="G24" s="164"/>
      <c r="H24" s="164"/>
      <c r="I24" s="164"/>
      <c r="J24" s="164"/>
      <c r="K24" s="164"/>
      <c r="L24" s="164"/>
      <c r="M24" s="164"/>
      <c r="N24" s="164"/>
      <c r="O24" s="164"/>
      <c r="P24" s="164"/>
      <c r="Q24" s="164"/>
      <c r="R24" s="164"/>
      <c r="S24" s="164"/>
    </row>
    <row r="25" spans="2:19" outlineLevel="1" x14ac:dyDescent="0.3">
      <c r="B25" s="98" t="s">
        <v>133</v>
      </c>
      <c r="C25" s="98"/>
      <c r="D25" s="7"/>
      <c r="E25" s="165">
        <f>IF(E4="","",E40)</f>
        <v>6.5000000000000002E-2</v>
      </c>
      <c r="F25" s="165">
        <f t="shared" ref="F25:S25" si="9">IF(F4="","",F40)</f>
        <v>6.5000000000000002E-2</v>
      </c>
      <c r="G25" s="165">
        <f t="shared" si="9"/>
        <v>6.5000000000000002E-2</v>
      </c>
      <c r="H25" s="165">
        <f t="shared" si="9"/>
        <v>6.5000000000000002E-2</v>
      </c>
      <c r="I25" s="165">
        <f t="shared" si="9"/>
        <v>6.5000000000000002E-2</v>
      </c>
      <c r="J25" s="165">
        <f t="shared" si="9"/>
        <v>6.5000000000000002E-2</v>
      </c>
      <c r="K25" s="165">
        <f t="shared" si="9"/>
        <v>6.5000000000000002E-2</v>
      </c>
      <c r="L25" s="165">
        <f t="shared" si="9"/>
        <v>6.5000000000000002E-2</v>
      </c>
      <c r="M25" s="165">
        <f t="shared" si="9"/>
        <v>6.5000000000000002E-2</v>
      </c>
      <c r="N25" s="165">
        <f t="shared" si="9"/>
        <v>6.5000000000000002E-2</v>
      </c>
      <c r="O25" s="165" t="str">
        <f t="shared" si="9"/>
        <v/>
      </c>
      <c r="P25" s="165" t="str">
        <f t="shared" si="9"/>
        <v/>
      </c>
      <c r="Q25" s="165" t="str">
        <f t="shared" si="9"/>
        <v/>
      </c>
      <c r="R25" s="165" t="str">
        <f t="shared" si="9"/>
        <v/>
      </c>
      <c r="S25" s="165" t="str">
        <f t="shared" si="9"/>
        <v/>
      </c>
    </row>
    <row r="26" spans="2:19" outlineLevel="1" x14ac:dyDescent="0.3">
      <c r="B26" s="98" t="s">
        <v>143</v>
      </c>
      <c r="C26" s="98"/>
      <c r="D26" s="7"/>
      <c r="E26" s="166">
        <f>IF(E4="","",'Loan Terms'!$H$33)</f>
        <v>1.4</v>
      </c>
      <c r="F26" s="166">
        <f>IF(F4="","",'Loan Terms'!$H$33)</f>
        <v>1.4</v>
      </c>
      <c r="G26" s="166">
        <f>IF(G4="","",'Loan Terms'!$H$33)</f>
        <v>1.4</v>
      </c>
      <c r="H26" s="166">
        <f>IF(H4="","",'Loan Terms'!$H$33)</f>
        <v>1.4</v>
      </c>
      <c r="I26" s="166">
        <f>IF(I4="","",'Loan Terms'!$H$33)</f>
        <v>1.4</v>
      </c>
      <c r="J26" s="166">
        <f>IF(J4="","",'Loan Terms'!$H$33)</f>
        <v>1.4</v>
      </c>
      <c r="K26" s="166">
        <f>IF(K4="","",'Loan Terms'!$H$33)</f>
        <v>1.4</v>
      </c>
      <c r="L26" s="166">
        <f>IF(L4="","",'Loan Terms'!$H$33)</f>
        <v>1.4</v>
      </c>
      <c r="M26" s="166">
        <f>IF(M4="","",'Loan Terms'!$H$33)</f>
        <v>1.4</v>
      </c>
      <c r="N26" s="166">
        <f>IF(N4="","",'Loan Terms'!$H$33)</f>
        <v>1.4</v>
      </c>
      <c r="O26" s="166" t="str">
        <f>IF(O4="","",'Loan Terms'!$H$33)</f>
        <v/>
      </c>
      <c r="P26" s="166" t="str">
        <f>IF(P4="","",'Loan Terms'!$H$33)</f>
        <v/>
      </c>
      <c r="Q26" s="166" t="str">
        <f>IF(Q4="","",'Loan Terms'!$H$33)</f>
        <v/>
      </c>
      <c r="R26" s="166" t="str">
        <f>IF(R4="","",'Loan Terms'!$H$33)</f>
        <v/>
      </c>
      <c r="S26" s="166" t="str">
        <f>IF(S4="","",'Loan Terms'!$H$33)</f>
        <v/>
      </c>
    </row>
    <row r="27" spans="2:19" outlineLevel="1" x14ac:dyDescent="0.3">
      <c r="B27" s="98" t="s">
        <v>142</v>
      </c>
      <c r="C27" s="98"/>
      <c r="D27" s="7"/>
      <c r="E27" s="167">
        <f>IF(E4="","",'Loan Terms'!$H$11)</f>
        <v>30</v>
      </c>
      <c r="F27" s="167">
        <f>IF(F4="","",'Loan Terms'!$H$11)</f>
        <v>30</v>
      </c>
      <c r="G27" s="167">
        <f>IF(G4="","",'Loan Terms'!$H$11)</f>
        <v>30</v>
      </c>
      <c r="H27" s="167">
        <f>IF(H4="","",'Loan Terms'!$H$11)</f>
        <v>30</v>
      </c>
      <c r="I27" s="167">
        <f>IF(I4="","",'Loan Terms'!$H$11)</f>
        <v>30</v>
      </c>
      <c r="J27" s="167">
        <f>IF(J4="","",'Loan Terms'!$H$11)</f>
        <v>30</v>
      </c>
      <c r="K27" s="167">
        <f>IF(K4="","",'Loan Terms'!$H$11)</f>
        <v>30</v>
      </c>
      <c r="L27" s="167">
        <f>IF(L4="","",'Loan Terms'!$H$11)</f>
        <v>30</v>
      </c>
      <c r="M27" s="167">
        <f>IF(M4="","",'Loan Terms'!$H$11)</f>
        <v>30</v>
      </c>
      <c r="N27" s="167">
        <f>IF(N4="","",'Loan Terms'!$H$11)</f>
        <v>30</v>
      </c>
      <c r="O27" s="167" t="str">
        <f>IF(O4="","",'Loan Terms'!$H$11)</f>
        <v/>
      </c>
      <c r="P27" s="167" t="str">
        <f>IF(P4="","",'Loan Terms'!$H$11)</f>
        <v/>
      </c>
      <c r="Q27" s="167" t="str">
        <f>IF(Q4="","",'Loan Terms'!$H$11)</f>
        <v/>
      </c>
      <c r="R27" s="167" t="str">
        <f>IF(R4="","",'Loan Terms'!$H$11)</f>
        <v/>
      </c>
      <c r="S27" s="167" t="str">
        <f>IF(S4="","",'Loan Terms'!$H$11)</f>
        <v/>
      </c>
    </row>
    <row r="28" spans="2:19" outlineLevel="1" x14ac:dyDescent="0.3">
      <c r="B28" s="98" t="s">
        <v>141</v>
      </c>
      <c r="C28" s="98"/>
      <c r="D28" s="7"/>
      <c r="E28" s="86">
        <f>IF(E4="","",-PV(E25/12,E27*12,(MAX(E6,F6))/E26/12,0))</f>
        <v>6671665.5680021783</v>
      </c>
      <c r="F28" s="86">
        <f t="shared" ref="F28:S28" si="10">IF(F4="","",-PV(F25/12,F27*12,(MAX(F6,G6))/F26/12,0))</f>
        <v>6838457.2072022324</v>
      </c>
      <c r="G28" s="86">
        <f t="shared" si="10"/>
        <v>7009418.6373822875</v>
      </c>
      <c r="H28" s="86">
        <f t="shared" si="10"/>
        <v>7184654.1033168435</v>
      </c>
      <c r="I28" s="86">
        <f t="shared" si="10"/>
        <v>7364270.4558997639</v>
      </c>
      <c r="J28" s="86">
        <f t="shared" si="10"/>
        <v>7548377.2172972569</v>
      </c>
      <c r="K28" s="86">
        <f t="shared" si="10"/>
        <v>7737086.6477296883</v>
      </c>
      <c r="L28" s="86">
        <f t="shared" si="10"/>
        <v>7930513.8139229296</v>
      </c>
      <c r="M28" s="86">
        <f t="shared" si="10"/>
        <v>8128776.6592710037</v>
      </c>
      <c r="N28" s="86">
        <f t="shared" si="10"/>
        <v>8331996.075752777</v>
      </c>
      <c r="O28" s="86" t="str">
        <f t="shared" si="10"/>
        <v/>
      </c>
      <c r="P28" s="86" t="str">
        <f t="shared" si="10"/>
        <v/>
      </c>
      <c r="Q28" s="86" t="str">
        <f t="shared" si="10"/>
        <v/>
      </c>
      <c r="R28" s="86" t="str">
        <f t="shared" si="10"/>
        <v/>
      </c>
      <c r="S28" s="86" t="str">
        <f t="shared" si="10"/>
        <v/>
      </c>
    </row>
    <row r="29" spans="2:19" ht="4.9000000000000004" customHeight="1" outlineLevel="1" x14ac:dyDescent="0.3">
      <c r="B29" s="98"/>
      <c r="C29" s="98"/>
      <c r="D29" s="7"/>
      <c r="E29" s="168"/>
      <c r="F29" s="169"/>
      <c r="G29" s="169"/>
      <c r="H29" s="169"/>
      <c r="I29" s="169"/>
      <c r="J29" s="169"/>
      <c r="K29" s="169"/>
      <c r="L29" s="169"/>
      <c r="M29" s="169"/>
      <c r="N29" s="169"/>
      <c r="O29" s="169"/>
      <c r="P29" s="169"/>
      <c r="Q29" s="169"/>
      <c r="R29" s="169"/>
      <c r="S29" s="169"/>
    </row>
    <row r="30" spans="2:19" outlineLevel="1" x14ac:dyDescent="0.3">
      <c r="B30" s="98" t="s">
        <v>140</v>
      </c>
      <c r="C30" s="98"/>
      <c r="D30" s="7"/>
      <c r="E30" s="108">
        <f>IF(E4="","",'Loan Terms'!$H$35)</f>
        <v>0.11</v>
      </c>
      <c r="F30" s="108">
        <f>IF(F4="","",'Loan Terms'!$H$35)</f>
        <v>0.11</v>
      </c>
      <c r="G30" s="108">
        <f>IF(G4="","",'Loan Terms'!$H$35)</f>
        <v>0.11</v>
      </c>
      <c r="H30" s="108">
        <f>IF(H4="","",'Loan Terms'!$H$35)</f>
        <v>0.11</v>
      </c>
      <c r="I30" s="108">
        <f>IF(I4="","",'Loan Terms'!$H$35)</f>
        <v>0.11</v>
      </c>
      <c r="J30" s="108">
        <f>IF(J4="","",'Loan Terms'!$H$35)</f>
        <v>0.11</v>
      </c>
      <c r="K30" s="108">
        <f>IF(K4="","",'Loan Terms'!$H$35)</f>
        <v>0.11</v>
      </c>
      <c r="L30" s="108">
        <f>IF(L4="","",'Loan Terms'!$H$35)</f>
        <v>0.11</v>
      </c>
      <c r="M30" s="108">
        <f>IF(M4="","",'Loan Terms'!$H$35)</f>
        <v>0.11</v>
      </c>
      <c r="N30" s="108">
        <f>IF(N4="","",'Loan Terms'!$H$35)</f>
        <v>0.11</v>
      </c>
      <c r="O30" s="108" t="str">
        <f>IF(O4="","",'Loan Terms'!$H$35)</f>
        <v/>
      </c>
      <c r="P30" s="108" t="str">
        <f>IF(P4="","",'Loan Terms'!$H$35)</f>
        <v/>
      </c>
      <c r="Q30" s="108" t="str">
        <f>IF(Q4="","",'Loan Terms'!$H$35)</f>
        <v/>
      </c>
      <c r="R30" s="108" t="str">
        <f>IF(R4="","",'Loan Terms'!$H$35)</f>
        <v/>
      </c>
      <c r="S30" s="108" t="str">
        <f>IF(S4="","",'Loan Terms'!$H$35)</f>
        <v/>
      </c>
    </row>
    <row r="31" spans="2:19" outlineLevel="1" x14ac:dyDescent="0.3">
      <c r="B31" s="98" t="s">
        <v>139</v>
      </c>
      <c r="C31" s="98"/>
      <c r="D31" s="7"/>
      <c r="E31" s="86">
        <f>IF(E4="","",MAX(F6,E6)/E30)</f>
        <v>6440427.3344318168</v>
      </c>
      <c r="F31" s="86">
        <f t="shared" ref="F31:S31" si="11">IF(F4="","",MAX(G6,F6)/F30)</f>
        <v>6601438.0177926123</v>
      </c>
      <c r="G31" s="86">
        <f t="shared" si="11"/>
        <v>6766473.9682374271</v>
      </c>
      <c r="H31" s="86">
        <f t="shared" si="11"/>
        <v>6935635.8174433615</v>
      </c>
      <c r="I31" s="86">
        <f t="shared" si="11"/>
        <v>7109026.7128794445</v>
      </c>
      <c r="J31" s="86">
        <f t="shared" si="11"/>
        <v>7286752.3807014292</v>
      </c>
      <c r="K31" s="86">
        <f t="shared" si="11"/>
        <v>7468921.1902189646</v>
      </c>
      <c r="L31" s="86">
        <f t="shared" si="11"/>
        <v>7655644.2199744387</v>
      </c>
      <c r="M31" s="86">
        <f t="shared" si="11"/>
        <v>7847035.3254737984</v>
      </c>
      <c r="N31" s="86">
        <f t="shared" si="11"/>
        <v>8043211.2086106427</v>
      </c>
      <c r="O31" s="86" t="str">
        <f t="shared" si="11"/>
        <v/>
      </c>
      <c r="P31" s="86" t="str">
        <f t="shared" si="11"/>
        <v/>
      </c>
      <c r="Q31" s="86" t="str">
        <f t="shared" si="11"/>
        <v/>
      </c>
      <c r="R31" s="86" t="str">
        <f t="shared" si="11"/>
        <v/>
      </c>
      <c r="S31" s="86" t="str">
        <f t="shared" si="11"/>
        <v/>
      </c>
    </row>
    <row r="32" spans="2:19" ht="4.9000000000000004" customHeight="1" outlineLevel="1" x14ac:dyDescent="0.3">
      <c r="B32" s="98"/>
      <c r="C32" s="98"/>
      <c r="D32" s="7"/>
      <c r="E32" s="13"/>
      <c r="F32" s="86"/>
      <c r="G32" s="86"/>
      <c r="H32" s="86"/>
      <c r="I32" s="86"/>
      <c r="J32" s="86"/>
      <c r="K32" s="86"/>
      <c r="L32" s="86"/>
      <c r="M32" s="86"/>
      <c r="N32" s="86"/>
      <c r="O32" s="86"/>
      <c r="P32" s="86"/>
      <c r="Q32" s="86"/>
      <c r="R32" s="86"/>
      <c r="S32" s="86"/>
    </row>
    <row r="33" spans="2:20" outlineLevel="1" x14ac:dyDescent="0.3">
      <c r="B33" s="98" t="s">
        <v>138</v>
      </c>
      <c r="C33" s="98"/>
      <c r="D33" s="7"/>
      <c r="E33" s="86">
        <f>IF(E4="","",MIN(E31,E28,E23))</f>
        <v>6440427.3344318168</v>
      </c>
      <c r="F33" s="86">
        <f t="shared" ref="F33:S33" si="12">IF(F4="","",MIN(F31,F28,F23))</f>
        <v>6601438.0177926123</v>
      </c>
      <c r="G33" s="86">
        <f t="shared" si="12"/>
        <v>6766473.9682374271</v>
      </c>
      <c r="H33" s="86">
        <f t="shared" si="12"/>
        <v>6935635.8174433615</v>
      </c>
      <c r="I33" s="86">
        <f t="shared" si="12"/>
        <v>7109026.7128794445</v>
      </c>
      <c r="J33" s="86">
        <f t="shared" si="12"/>
        <v>7286752.3807014292</v>
      </c>
      <c r="K33" s="86">
        <f t="shared" si="12"/>
        <v>7468921.1902189646</v>
      </c>
      <c r="L33" s="86">
        <f t="shared" si="12"/>
        <v>7655644.2199744387</v>
      </c>
      <c r="M33" s="86">
        <f t="shared" si="12"/>
        <v>7847035.3254737984</v>
      </c>
      <c r="N33" s="86">
        <f t="shared" si="12"/>
        <v>8043211.2086106427</v>
      </c>
      <c r="O33" s="86" t="str">
        <f t="shared" si="12"/>
        <v/>
      </c>
      <c r="P33" s="86" t="str">
        <f t="shared" si="12"/>
        <v/>
      </c>
      <c r="Q33" s="86" t="str">
        <f t="shared" si="12"/>
        <v/>
      </c>
      <c r="R33" s="86" t="str">
        <f t="shared" si="12"/>
        <v/>
      </c>
      <c r="S33" s="86" t="str">
        <f t="shared" si="12"/>
        <v/>
      </c>
    </row>
    <row r="34" spans="2:20" outlineLevel="1" x14ac:dyDescent="0.3">
      <c r="B34" s="98" t="s">
        <v>137</v>
      </c>
      <c r="C34" s="98"/>
      <c r="D34" s="7"/>
      <c r="E34" s="107">
        <f>IF(E4="","",E13)</f>
        <v>6102353.4841628969</v>
      </c>
      <c r="F34" s="107">
        <f t="shared" ref="F34:S34" si="13">IF(F4="","",F13)</f>
        <v>6102353.4841628969</v>
      </c>
      <c r="G34" s="107">
        <f t="shared" si="13"/>
        <v>6102353.4841628969</v>
      </c>
      <c r="H34" s="107">
        <f t="shared" si="13"/>
        <v>6102353.4841628969</v>
      </c>
      <c r="I34" s="107">
        <f t="shared" si="13"/>
        <v>6102353.4841628969</v>
      </c>
      <c r="J34" s="107">
        <f t="shared" si="13"/>
        <v>6034145.9250644427</v>
      </c>
      <c r="K34" s="107">
        <f t="shared" si="13"/>
        <v>5961370.3794125924</v>
      </c>
      <c r="L34" s="107">
        <f t="shared" si="13"/>
        <v>5883720.9206879409</v>
      </c>
      <c r="M34" s="107">
        <f t="shared" si="13"/>
        <v>5800871.1339055039</v>
      </c>
      <c r="N34" s="107">
        <f t="shared" si="13"/>
        <v>5712472.7434642306</v>
      </c>
      <c r="O34" s="107" t="str">
        <f t="shared" si="13"/>
        <v/>
      </c>
      <c r="P34" s="107" t="str">
        <f t="shared" si="13"/>
        <v/>
      </c>
      <c r="Q34" s="107" t="str">
        <f t="shared" si="13"/>
        <v/>
      </c>
      <c r="R34" s="107" t="str">
        <f t="shared" si="13"/>
        <v/>
      </c>
      <c r="S34" s="107" t="str">
        <f t="shared" si="13"/>
        <v/>
      </c>
    </row>
    <row r="35" spans="2:20" outlineLevel="1" x14ac:dyDescent="0.3">
      <c r="B35" s="99" t="s">
        <v>136</v>
      </c>
      <c r="C35" s="99"/>
      <c r="D35" s="104"/>
      <c r="E35" s="149">
        <f>IF(E4="","",E33-E34)</f>
        <v>338073.85026891995</v>
      </c>
      <c r="F35" s="149">
        <f t="shared" ref="F35:S35" si="14">IF(F4="","",F33-F34)</f>
        <v>499084.53362971544</v>
      </c>
      <c r="G35" s="149">
        <f t="shared" si="14"/>
        <v>664120.48407453019</v>
      </c>
      <c r="H35" s="149">
        <f t="shared" si="14"/>
        <v>833282.33328046463</v>
      </c>
      <c r="I35" s="149">
        <f t="shared" si="14"/>
        <v>1006673.2287165476</v>
      </c>
      <c r="J35" s="149">
        <f t="shared" si="14"/>
        <v>1252606.4556369865</v>
      </c>
      <c r="K35" s="149">
        <f t="shared" si="14"/>
        <v>1507550.8108063722</v>
      </c>
      <c r="L35" s="149">
        <f t="shared" si="14"/>
        <v>1771923.2992864978</v>
      </c>
      <c r="M35" s="149">
        <f t="shared" si="14"/>
        <v>2046164.1915682945</v>
      </c>
      <c r="N35" s="149">
        <f t="shared" si="14"/>
        <v>2330738.4651464121</v>
      </c>
      <c r="O35" s="149" t="str">
        <f t="shared" si="14"/>
        <v/>
      </c>
      <c r="P35" s="149" t="str">
        <f t="shared" si="14"/>
        <v/>
      </c>
      <c r="Q35" s="149" t="str">
        <f t="shared" si="14"/>
        <v/>
      </c>
      <c r="R35" s="149" t="str">
        <f t="shared" si="14"/>
        <v/>
      </c>
      <c r="S35" s="149" t="str">
        <f t="shared" si="14"/>
        <v/>
      </c>
    </row>
    <row r="36" spans="2:20" ht="4.9000000000000004" customHeight="1" outlineLevel="1" x14ac:dyDescent="0.3">
      <c r="B36" s="98"/>
      <c r="C36" s="98"/>
      <c r="D36" s="7"/>
      <c r="E36" s="170"/>
      <c r="F36" s="170"/>
      <c r="G36" s="170"/>
      <c r="H36" s="170"/>
      <c r="I36" s="170"/>
      <c r="J36" s="170"/>
      <c r="K36" s="170"/>
      <c r="L36" s="170"/>
      <c r="M36" s="170"/>
      <c r="N36" s="170"/>
      <c r="O36" s="170"/>
      <c r="P36" s="170"/>
      <c r="Q36" s="170"/>
      <c r="R36" s="170"/>
      <c r="S36" s="170"/>
    </row>
    <row r="37" spans="2:20" outlineLevel="1" x14ac:dyDescent="0.3">
      <c r="B37" s="48" t="s">
        <v>159</v>
      </c>
      <c r="C37" s="48"/>
      <c r="D37" s="11" t="s">
        <v>160</v>
      </c>
      <c r="E37" s="102"/>
      <c r="F37" s="102"/>
      <c r="G37" s="102"/>
      <c r="H37" s="102"/>
      <c r="I37" s="102"/>
      <c r="J37" s="102"/>
      <c r="K37" s="102"/>
      <c r="L37" s="102"/>
      <c r="M37" s="102"/>
      <c r="N37" s="102"/>
      <c r="O37" s="102"/>
      <c r="P37" s="102"/>
      <c r="Q37" s="102"/>
      <c r="R37" s="102"/>
      <c r="S37" s="102"/>
    </row>
    <row r="38" spans="2:20" outlineLevel="1" x14ac:dyDescent="0.3">
      <c r="B38" s="98" t="s">
        <v>135</v>
      </c>
      <c r="C38" s="98"/>
      <c r="D38" s="153">
        <v>0</v>
      </c>
      <c r="E38" s="108">
        <f>IF(E4="","",'Loan Terms'!$H$16+$D$38*E4/10000)</f>
        <v>4.2500000000000003E-2</v>
      </c>
      <c r="F38" s="108">
        <f>IF(F4="","",'Loan Terms'!$H$16+$D$38*F4/10000)</f>
        <v>4.2500000000000003E-2</v>
      </c>
      <c r="G38" s="108">
        <f>IF(G4="","",'Loan Terms'!$H$16+$D$38*G4/10000)</f>
        <v>4.2500000000000003E-2</v>
      </c>
      <c r="H38" s="108">
        <f>IF(H4="","",'Loan Terms'!$H$16+$D$38*H4/10000)</f>
        <v>4.2500000000000003E-2</v>
      </c>
      <c r="I38" s="108">
        <f>IF(I4="","",'Loan Terms'!$H$16+$D$38*I4/10000)</f>
        <v>4.2500000000000003E-2</v>
      </c>
      <c r="J38" s="108">
        <f>IF(J4="","",'Loan Terms'!$H$16+$D$38*J4/10000)</f>
        <v>4.2500000000000003E-2</v>
      </c>
      <c r="K38" s="108">
        <f>IF(K4="","",'Loan Terms'!$H$16+$D$38*K4/10000)</f>
        <v>4.2500000000000003E-2</v>
      </c>
      <c r="L38" s="108">
        <f>IF(L4="","",'Loan Terms'!$H$16+$D$38*L4/10000)</f>
        <v>4.2500000000000003E-2</v>
      </c>
      <c r="M38" s="108">
        <f>IF(M4="","",'Loan Terms'!$H$16+$D$38*M4/10000)</f>
        <v>4.2500000000000003E-2</v>
      </c>
      <c r="N38" s="108">
        <f>IF(N4="","",'Loan Terms'!$H$16+$D$38*N4/10000)</f>
        <v>4.2500000000000003E-2</v>
      </c>
      <c r="O38" s="108" t="str">
        <f>IF(O4="","",'Loan Terms'!$H$16+$D$38*O4/10000)</f>
        <v/>
      </c>
      <c r="P38" s="108" t="str">
        <f>IF(P4="","",'Loan Terms'!$H$16+$D$38*P4/10000)</f>
        <v/>
      </c>
      <c r="Q38" s="108" t="str">
        <f>IF(Q4="","",'Loan Terms'!$H$16+$D$38*Q4/10000)</f>
        <v/>
      </c>
      <c r="R38" s="108" t="str">
        <f>IF(R4="","",'Loan Terms'!$H$16+$D$38*R4/10000)</f>
        <v/>
      </c>
      <c r="S38" s="108" t="str">
        <f>IF(S4="","",'Loan Terms'!$H$16+$D$38*S4/10000)</f>
        <v/>
      </c>
    </row>
    <row r="39" spans="2:20" outlineLevel="1" x14ac:dyDescent="0.3">
      <c r="B39" s="98" t="s">
        <v>134</v>
      </c>
      <c r="C39" s="98"/>
      <c r="D39" s="7"/>
      <c r="E39" s="103">
        <f>'Loan Terms'!H14/10000</f>
        <v>2.2499999999999999E-2</v>
      </c>
      <c r="F39" s="109">
        <f>IF(F4="","",E39)</f>
        <v>2.2499999999999999E-2</v>
      </c>
      <c r="G39" s="109">
        <f t="shared" ref="G39:S39" si="15">IF(G4="","",F39)</f>
        <v>2.2499999999999999E-2</v>
      </c>
      <c r="H39" s="109">
        <f t="shared" si="15"/>
        <v>2.2499999999999999E-2</v>
      </c>
      <c r="I39" s="109">
        <f t="shared" si="15"/>
        <v>2.2499999999999999E-2</v>
      </c>
      <c r="J39" s="109">
        <f t="shared" si="15"/>
        <v>2.2499999999999999E-2</v>
      </c>
      <c r="K39" s="109">
        <f t="shared" si="15"/>
        <v>2.2499999999999999E-2</v>
      </c>
      <c r="L39" s="109">
        <f t="shared" si="15"/>
        <v>2.2499999999999999E-2</v>
      </c>
      <c r="M39" s="109">
        <f t="shared" si="15"/>
        <v>2.2499999999999999E-2</v>
      </c>
      <c r="N39" s="109">
        <f t="shared" si="15"/>
        <v>2.2499999999999999E-2</v>
      </c>
      <c r="O39" s="109" t="str">
        <f t="shared" si="15"/>
        <v/>
      </c>
      <c r="P39" s="109" t="str">
        <f t="shared" si="15"/>
        <v/>
      </c>
      <c r="Q39" s="109" t="str">
        <f t="shared" si="15"/>
        <v/>
      </c>
      <c r="R39" s="109" t="str">
        <f t="shared" si="15"/>
        <v/>
      </c>
      <c r="S39" s="109" t="str">
        <f t="shared" si="15"/>
        <v/>
      </c>
    </row>
    <row r="40" spans="2:20" outlineLevel="1" x14ac:dyDescent="0.3">
      <c r="B40" s="99" t="s">
        <v>133</v>
      </c>
      <c r="C40" s="99"/>
      <c r="D40" s="104"/>
      <c r="E40" s="105">
        <f>IF(E4="","",SUM(E38:E39))</f>
        <v>6.5000000000000002E-2</v>
      </c>
      <c r="F40" s="105">
        <f>IF(F4="","",SUM(F38:F39))</f>
        <v>6.5000000000000002E-2</v>
      </c>
      <c r="G40" s="105">
        <f t="shared" ref="G40:S40" si="16">IF(G4="","",SUM(G38:G39))</f>
        <v>6.5000000000000002E-2</v>
      </c>
      <c r="H40" s="105">
        <f t="shared" si="16"/>
        <v>6.5000000000000002E-2</v>
      </c>
      <c r="I40" s="105">
        <f t="shared" si="16"/>
        <v>6.5000000000000002E-2</v>
      </c>
      <c r="J40" s="105">
        <f t="shared" si="16"/>
        <v>6.5000000000000002E-2</v>
      </c>
      <c r="K40" s="105">
        <f t="shared" si="16"/>
        <v>6.5000000000000002E-2</v>
      </c>
      <c r="L40" s="105">
        <f t="shared" si="16"/>
        <v>6.5000000000000002E-2</v>
      </c>
      <c r="M40" s="105">
        <f t="shared" si="16"/>
        <v>6.5000000000000002E-2</v>
      </c>
      <c r="N40" s="105">
        <f t="shared" si="16"/>
        <v>6.5000000000000002E-2</v>
      </c>
      <c r="O40" s="105" t="str">
        <f t="shared" si="16"/>
        <v/>
      </c>
      <c r="P40" s="105" t="str">
        <f t="shared" si="16"/>
        <v/>
      </c>
      <c r="Q40" s="105" t="str">
        <f t="shared" si="16"/>
        <v/>
      </c>
      <c r="R40" s="105" t="str">
        <f t="shared" si="16"/>
        <v/>
      </c>
      <c r="S40" s="105" t="str">
        <f t="shared" si="16"/>
        <v/>
      </c>
    </row>
    <row r="41" spans="2:20" ht="15" customHeight="1" x14ac:dyDescent="0.3">
      <c r="B41" s="198" t="s">
        <v>225</v>
      </c>
      <c r="C41" s="1"/>
      <c r="D41" s="7"/>
      <c r="E41" s="102"/>
      <c r="F41" s="102"/>
      <c r="G41" s="102"/>
      <c r="H41" s="102"/>
      <c r="I41" s="102"/>
      <c r="J41" s="102"/>
      <c r="K41" s="102"/>
      <c r="L41" s="102"/>
      <c r="M41" s="102"/>
      <c r="N41" s="102"/>
      <c r="O41" s="102"/>
      <c r="P41" s="102"/>
      <c r="Q41" s="102"/>
      <c r="R41" s="102"/>
      <c r="S41" s="102"/>
    </row>
    <row r="42" spans="2:20" ht="15" customHeight="1" x14ac:dyDescent="0.3">
      <c r="B42" s="198"/>
      <c r="C42" s="1"/>
      <c r="D42" s="7"/>
      <c r="E42" s="102"/>
      <c r="F42" s="102"/>
      <c r="G42" s="102"/>
      <c r="H42" s="102"/>
      <c r="I42" s="102"/>
      <c r="J42" s="102"/>
      <c r="K42" s="102"/>
      <c r="L42" s="102"/>
      <c r="M42" s="102"/>
      <c r="N42" s="102"/>
      <c r="O42" s="102"/>
      <c r="P42" s="102"/>
      <c r="Q42" s="102"/>
      <c r="R42" s="102"/>
      <c r="S42" s="102"/>
    </row>
    <row r="43" spans="2:20" x14ac:dyDescent="0.3">
      <c r="B43" s="48" t="s">
        <v>132</v>
      </c>
      <c r="C43" s="48"/>
      <c r="D43" s="7"/>
      <c r="E43" s="171"/>
      <c r="F43" s="172" t="s">
        <v>131</v>
      </c>
      <c r="G43" s="172" t="s">
        <v>130</v>
      </c>
      <c r="H43" s="172" t="s">
        <v>129</v>
      </c>
      <c r="I43" s="172" t="s">
        <v>128</v>
      </c>
      <c r="J43" s="173" t="s">
        <v>127</v>
      </c>
      <c r="K43" s="102"/>
      <c r="L43" s="102"/>
      <c r="M43" s="102"/>
      <c r="N43" s="102"/>
      <c r="O43" s="102"/>
      <c r="P43" s="102"/>
      <c r="Q43" s="102"/>
      <c r="R43" s="102"/>
      <c r="S43" s="102"/>
    </row>
    <row r="44" spans="2:20" x14ac:dyDescent="0.3">
      <c r="B44" s="98"/>
      <c r="C44" s="98"/>
      <c r="D44" s="7"/>
      <c r="E44" s="174" t="s">
        <v>126</v>
      </c>
      <c r="F44" s="175">
        <v>0</v>
      </c>
      <c r="G44" s="175">
        <f>F44+5%</f>
        <v>0.05</v>
      </c>
      <c r="H44" s="175">
        <f>G44+5%</f>
        <v>0.1</v>
      </c>
      <c r="I44" s="175">
        <f>H44+5%</f>
        <v>0.15000000000000002</v>
      </c>
      <c r="J44" s="176">
        <f>I44+5%</f>
        <v>0.2</v>
      </c>
      <c r="K44" s="101"/>
      <c r="L44" s="101"/>
      <c r="M44" s="101"/>
      <c r="N44" s="101"/>
      <c r="O44" s="101"/>
      <c r="P44" s="101"/>
      <c r="Q44" s="101"/>
      <c r="R44" s="101"/>
      <c r="S44" s="101"/>
    </row>
    <row r="45" spans="2:20" x14ac:dyDescent="0.3">
      <c r="B45" s="98"/>
      <c r="C45" s="98"/>
      <c r="D45" s="7"/>
      <c r="E45" s="177">
        <f t="shared" ref="E45:S45" si="17">E4</f>
        <v>1</v>
      </c>
      <c r="F45" s="177">
        <f t="shared" si="17"/>
        <v>2</v>
      </c>
      <c r="G45" s="177">
        <f t="shared" si="17"/>
        <v>3</v>
      </c>
      <c r="H45" s="177">
        <f t="shared" si="17"/>
        <v>4</v>
      </c>
      <c r="I45" s="177">
        <f t="shared" si="17"/>
        <v>5</v>
      </c>
      <c r="J45" s="177">
        <f t="shared" si="17"/>
        <v>6</v>
      </c>
      <c r="K45" s="177">
        <f t="shared" si="17"/>
        <v>7</v>
      </c>
      <c r="L45" s="177">
        <f t="shared" si="17"/>
        <v>8</v>
      </c>
      <c r="M45" s="177">
        <f t="shared" si="17"/>
        <v>9</v>
      </c>
      <c r="N45" s="177">
        <f t="shared" si="17"/>
        <v>10</v>
      </c>
      <c r="O45" s="177" t="str">
        <f t="shared" si="17"/>
        <v/>
      </c>
      <c r="P45" s="177" t="str">
        <f t="shared" si="17"/>
        <v/>
      </c>
      <c r="Q45" s="177" t="str">
        <f t="shared" si="17"/>
        <v/>
      </c>
      <c r="R45" s="177" t="str">
        <f t="shared" si="17"/>
        <v/>
      </c>
      <c r="S45" s="177" t="str">
        <f t="shared" si="17"/>
        <v/>
      </c>
    </row>
    <row r="46" spans="2:20" x14ac:dyDescent="0.3">
      <c r="B46" s="98" t="s">
        <v>125</v>
      </c>
      <c r="C46" s="98"/>
      <c r="D46" s="7"/>
      <c r="E46" s="86">
        <f>IF(E$4="","",E$6*(1-$T46))</f>
        <v>691167.81149999995</v>
      </c>
      <c r="F46" s="86">
        <f t="shared" ref="F46:S52" si="18">IF(F$4="","",F$6*(1-$T46))</f>
        <v>708447.00678749988</v>
      </c>
      <c r="G46" s="86">
        <f t="shared" si="18"/>
        <v>726158.18195718736</v>
      </c>
      <c r="H46" s="86">
        <f t="shared" si="18"/>
        <v>744312.13650611695</v>
      </c>
      <c r="I46" s="86">
        <f t="shared" si="18"/>
        <v>762919.93991876976</v>
      </c>
      <c r="J46" s="86">
        <f t="shared" si="18"/>
        <v>781992.93841673888</v>
      </c>
      <c r="K46" s="86">
        <f t="shared" si="18"/>
        <v>801542.76187715726</v>
      </c>
      <c r="L46" s="86">
        <f t="shared" si="18"/>
        <v>821581.33092408616</v>
      </c>
      <c r="M46" s="86">
        <f t="shared" si="18"/>
        <v>842120.86419718829</v>
      </c>
      <c r="N46" s="86">
        <f t="shared" si="18"/>
        <v>863173.88580211787</v>
      </c>
      <c r="O46" s="86" t="str">
        <f t="shared" si="18"/>
        <v/>
      </c>
      <c r="P46" s="86" t="str">
        <f t="shared" si="18"/>
        <v/>
      </c>
      <c r="Q46" s="86" t="str">
        <f t="shared" si="18"/>
        <v/>
      </c>
      <c r="R46" s="86" t="str">
        <f t="shared" si="18"/>
        <v/>
      </c>
      <c r="S46" s="86" t="str">
        <f t="shared" si="18"/>
        <v/>
      </c>
      <c r="T46" s="178">
        <v>0</v>
      </c>
    </row>
    <row r="47" spans="2:20" ht="5.0999999999999996" customHeight="1" x14ac:dyDescent="0.3">
      <c r="B47" s="98"/>
      <c r="C47" s="98"/>
      <c r="D47" s="7"/>
      <c r="E47" s="86"/>
      <c r="F47" s="86"/>
      <c r="G47" s="86"/>
      <c r="H47" s="86"/>
      <c r="I47" s="86"/>
      <c r="J47" s="86"/>
      <c r="K47" s="86"/>
      <c r="L47" s="86"/>
      <c r="M47" s="86"/>
      <c r="N47" s="86"/>
      <c r="O47" s="86"/>
      <c r="P47" s="86"/>
      <c r="Q47" s="86"/>
      <c r="R47" s="86"/>
      <c r="S47" s="86"/>
      <c r="T47" s="178"/>
    </row>
    <row r="48" spans="2:20" x14ac:dyDescent="0.3">
      <c r="B48" s="98" t="str">
        <f>"NOI After "&amp;TEXT(T48,"0.0%")&amp;" Reduction"</f>
        <v>NOI After 0.0% Reduction</v>
      </c>
      <c r="C48" s="98"/>
      <c r="D48" s="7"/>
      <c r="E48" s="86">
        <f t="shared" ref="E48:E52" si="19">IF(E$4="","",E$6*(1-$T48))</f>
        <v>691167.81149999995</v>
      </c>
      <c r="F48" s="86">
        <f t="shared" si="18"/>
        <v>708447.00678749988</v>
      </c>
      <c r="G48" s="86">
        <f t="shared" si="18"/>
        <v>726158.18195718736</v>
      </c>
      <c r="H48" s="86">
        <f t="shared" si="18"/>
        <v>744312.13650611695</v>
      </c>
      <c r="I48" s="86">
        <f t="shared" si="18"/>
        <v>762919.93991876976</v>
      </c>
      <c r="J48" s="86">
        <f t="shared" si="18"/>
        <v>781992.93841673888</v>
      </c>
      <c r="K48" s="86">
        <f t="shared" si="18"/>
        <v>801542.76187715726</v>
      </c>
      <c r="L48" s="86">
        <f t="shared" si="18"/>
        <v>821581.33092408616</v>
      </c>
      <c r="M48" s="86">
        <f t="shared" si="18"/>
        <v>842120.86419718829</v>
      </c>
      <c r="N48" s="86">
        <f t="shared" si="18"/>
        <v>863173.88580211787</v>
      </c>
      <c r="O48" s="86" t="str">
        <f t="shared" si="18"/>
        <v/>
      </c>
      <c r="P48" s="86" t="str">
        <f t="shared" si="18"/>
        <v/>
      </c>
      <c r="Q48" s="86" t="str">
        <f t="shared" si="18"/>
        <v/>
      </c>
      <c r="R48" s="86" t="str">
        <f t="shared" si="18"/>
        <v/>
      </c>
      <c r="S48" s="86" t="str">
        <f t="shared" si="18"/>
        <v/>
      </c>
      <c r="T48" s="178">
        <f>$F$44</f>
        <v>0</v>
      </c>
    </row>
    <row r="49" spans="2:20" x14ac:dyDescent="0.3">
      <c r="B49" s="98" t="str">
        <f>"NOI After "&amp;TEXT(T49,"0.0%")&amp;" Reduction"</f>
        <v>NOI After 5.0% Reduction</v>
      </c>
      <c r="C49" s="98"/>
      <c r="D49" s="7"/>
      <c r="E49" s="86">
        <f t="shared" si="19"/>
        <v>656609.42092499987</v>
      </c>
      <c r="F49" s="86">
        <f t="shared" si="18"/>
        <v>673024.65644812491</v>
      </c>
      <c r="G49" s="86">
        <f t="shared" si="18"/>
        <v>689850.27285932796</v>
      </c>
      <c r="H49" s="86">
        <f t="shared" si="18"/>
        <v>707096.5296808111</v>
      </c>
      <c r="I49" s="86">
        <f t="shared" si="18"/>
        <v>724773.94292283128</v>
      </c>
      <c r="J49" s="86">
        <f t="shared" si="18"/>
        <v>742893.29149590188</v>
      </c>
      <c r="K49" s="86">
        <f t="shared" si="18"/>
        <v>761465.62378329935</v>
      </c>
      <c r="L49" s="86">
        <f t="shared" si="18"/>
        <v>780502.26437788177</v>
      </c>
      <c r="M49" s="86">
        <f t="shared" si="18"/>
        <v>800014.82098732889</v>
      </c>
      <c r="N49" s="86">
        <f t="shared" si="18"/>
        <v>820015.19151201192</v>
      </c>
      <c r="O49" s="86" t="str">
        <f t="shared" si="18"/>
        <v/>
      </c>
      <c r="P49" s="86" t="str">
        <f t="shared" si="18"/>
        <v/>
      </c>
      <c r="Q49" s="86" t="str">
        <f t="shared" si="18"/>
        <v/>
      </c>
      <c r="R49" s="86" t="str">
        <f t="shared" si="18"/>
        <v/>
      </c>
      <c r="S49" s="86" t="str">
        <f t="shared" si="18"/>
        <v/>
      </c>
      <c r="T49" s="178">
        <f>$G$44</f>
        <v>0.05</v>
      </c>
    </row>
    <row r="50" spans="2:20" x14ac:dyDescent="0.3">
      <c r="B50" s="98" t="str">
        <f>"NOI After "&amp;TEXT(T50,"0.0%")&amp;" Reduction"</f>
        <v>NOI After 10.0% Reduction</v>
      </c>
      <c r="C50" s="98"/>
      <c r="D50" s="7"/>
      <c r="E50" s="86">
        <f t="shared" si="19"/>
        <v>622051.03035000002</v>
      </c>
      <c r="F50" s="86">
        <f t="shared" si="18"/>
        <v>637602.30610874994</v>
      </c>
      <c r="G50" s="86">
        <f t="shared" si="18"/>
        <v>653542.36376146867</v>
      </c>
      <c r="H50" s="86">
        <f t="shared" si="18"/>
        <v>669880.92285550525</v>
      </c>
      <c r="I50" s="86">
        <f t="shared" si="18"/>
        <v>686627.9459268928</v>
      </c>
      <c r="J50" s="86">
        <f t="shared" si="18"/>
        <v>703793.644575065</v>
      </c>
      <c r="K50" s="86">
        <f t="shared" si="18"/>
        <v>721388.48568944156</v>
      </c>
      <c r="L50" s="86">
        <f t="shared" si="18"/>
        <v>739423.19783167751</v>
      </c>
      <c r="M50" s="86">
        <f t="shared" si="18"/>
        <v>757908.77777746948</v>
      </c>
      <c r="N50" s="86">
        <f t="shared" si="18"/>
        <v>776856.49722190609</v>
      </c>
      <c r="O50" s="86" t="str">
        <f t="shared" si="18"/>
        <v/>
      </c>
      <c r="P50" s="86" t="str">
        <f t="shared" si="18"/>
        <v/>
      </c>
      <c r="Q50" s="86" t="str">
        <f t="shared" si="18"/>
        <v/>
      </c>
      <c r="R50" s="86" t="str">
        <f t="shared" si="18"/>
        <v/>
      </c>
      <c r="S50" s="86" t="str">
        <f t="shared" si="18"/>
        <v/>
      </c>
      <c r="T50" s="178">
        <f>$H$44</f>
        <v>0.1</v>
      </c>
    </row>
    <row r="51" spans="2:20" x14ac:dyDescent="0.3">
      <c r="B51" s="98" t="str">
        <f>"NOI After "&amp;TEXT(T51,"0.0%")&amp;" Reduction"</f>
        <v>NOI After 15.0% Reduction</v>
      </c>
      <c r="C51" s="98"/>
      <c r="D51" s="7"/>
      <c r="E51" s="86">
        <f t="shared" si="19"/>
        <v>587492.63977499993</v>
      </c>
      <c r="F51" s="86">
        <f t="shared" si="18"/>
        <v>602179.95576937485</v>
      </c>
      <c r="G51" s="86">
        <f t="shared" si="18"/>
        <v>617234.45466360927</v>
      </c>
      <c r="H51" s="86">
        <f t="shared" si="18"/>
        <v>632665.31603019941</v>
      </c>
      <c r="I51" s="86">
        <f t="shared" si="18"/>
        <v>648481.94893095433</v>
      </c>
      <c r="J51" s="86">
        <f t="shared" si="18"/>
        <v>664693.99765422801</v>
      </c>
      <c r="K51" s="86">
        <f t="shared" si="18"/>
        <v>681311.34759558365</v>
      </c>
      <c r="L51" s="86">
        <f t="shared" si="18"/>
        <v>698344.13128547324</v>
      </c>
      <c r="M51" s="86">
        <f t="shared" si="18"/>
        <v>715802.73456761008</v>
      </c>
      <c r="N51" s="86">
        <f t="shared" si="18"/>
        <v>733697.80293180014</v>
      </c>
      <c r="O51" s="86" t="str">
        <f t="shared" si="18"/>
        <v/>
      </c>
      <c r="P51" s="86" t="str">
        <f t="shared" si="18"/>
        <v/>
      </c>
      <c r="Q51" s="86" t="str">
        <f t="shared" si="18"/>
        <v/>
      </c>
      <c r="R51" s="86" t="str">
        <f t="shared" si="18"/>
        <v/>
      </c>
      <c r="S51" s="86" t="str">
        <f t="shared" si="18"/>
        <v/>
      </c>
      <c r="T51" s="178">
        <f>$I$44</f>
        <v>0.15000000000000002</v>
      </c>
    </row>
    <row r="52" spans="2:20" x14ac:dyDescent="0.3">
      <c r="B52" s="98" t="str">
        <f>"NOI After "&amp;TEXT(T52,"0.0%")&amp;" Reduction"</f>
        <v>NOI After 20.0% Reduction</v>
      </c>
      <c r="C52" s="98"/>
      <c r="D52" s="7"/>
      <c r="E52" s="86">
        <f t="shared" si="19"/>
        <v>552934.24919999996</v>
      </c>
      <c r="F52" s="86">
        <f t="shared" si="18"/>
        <v>566757.60542999988</v>
      </c>
      <c r="G52" s="86">
        <f t="shared" si="18"/>
        <v>580926.54556574987</v>
      </c>
      <c r="H52" s="86">
        <f t="shared" si="18"/>
        <v>595449.70920489356</v>
      </c>
      <c r="I52" s="86">
        <f t="shared" si="18"/>
        <v>610335.95193501585</v>
      </c>
      <c r="J52" s="86">
        <f t="shared" si="18"/>
        <v>625594.35073339113</v>
      </c>
      <c r="K52" s="86">
        <f t="shared" si="18"/>
        <v>641234.20950172585</v>
      </c>
      <c r="L52" s="86">
        <f t="shared" si="18"/>
        <v>657265.06473926897</v>
      </c>
      <c r="M52" s="86">
        <f t="shared" si="18"/>
        <v>673696.69135775068</v>
      </c>
      <c r="N52" s="86">
        <f t="shared" si="18"/>
        <v>690539.1086416943</v>
      </c>
      <c r="O52" s="86" t="str">
        <f t="shared" si="18"/>
        <v/>
      </c>
      <c r="P52" s="86" t="str">
        <f t="shared" si="18"/>
        <v/>
      </c>
      <c r="Q52" s="86" t="str">
        <f t="shared" si="18"/>
        <v/>
      </c>
      <c r="R52" s="86" t="str">
        <f t="shared" si="18"/>
        <v/>
      </c>
      <c r="S52" s="86" t="str">
        <f t="shared" si="18"/>
        <v/>
      </c>
      <c r="T52" s="178">
        <f>$J$44</f>
        <v>0.2</v>
      </c>
    </row>
    <row r="53" spans="2:20" ht="4.9000000000000004" customHeight="1" x14ac:dyDescent="0.3">
      <c r="B53" s="98"/>
      <c r="C53" s="98"/>
      <c r="D53" s="7"/>
      <c r="E53" s="164"/>
      <c r="F53" s="164"/>
      <c r="G53" s="164"/>
      <c r="H53" s="164"/>
      <c r="I53" s="164"/>
      <c r="J53" s="164"/>
      <c r="K53" s="164"/>
      <c r="L53" s="164"/>
      <c r="M53" s="164"/>
      <c r="N53" s="164"/>
      <c r="O53" s="164"/>
      <c r="P53" s="164"/>
      <c r="Q53" s="164"/>
      <c r="R53" s="164"/>
      <c r="S53" s="164"/>
    </row>
    <row r="54" spans="2:20" x14ac:dyDescent="0.3">
      <c r="B54" s="98" t="str">
        <f>"LTV With "&amp;TEXT(T54,"0.0%")&amp;" Reduction"</f>
        <v>LTV With 0.0% Reduction</v>
      </c>
      <c r="C54" s="98"/>
      <c r="D54" s="7"/>
      <c r="E54" s="101">
        <f>IF(E$4="","",(E$13/(MAX(F48,E48)/E$11)))</f>
        <v>0.47806062433210156</v>
      </c>
      <c r="F54" s="101">
        <f t="shared" ref="F54:S54" si="20">IF(F$4="","",(F$13/(MAX(G48,F48)/F$11)))</f>
        <v>0.47060241639371891</v>
      </c>
      <c r="G54" s="101">
        <f t="shared" si="20"/>
        <v>0.46322363286141333</v>
      </c>
      <c r="H54" s="101">
        <f t="shared" si="20"/>
        <v>0.45592483614246604</v>
      </c>
      <c r="I54" s="101">
        <f t="shared" si="20"/>
        <v>0.44870651396134875</v>
      </c>
      <c r="J54" s="101">
        <f t="shared" si="20"/>
        <v>0.4366335525681847</v>
      </c>
      <c r="K54" s="101">
        <f t="shared" si="20"/>
        <v>0.4244743083480072</v>
      </c>
      <c r="L54" s="101">
        <f t="shared" si="20"/>
        <v>0.41222056011107616</v>
      </c>
      <c r="M54" s="101">
        <f t="shared" si="20"/>
        <v>0.39986361745251331</v>
      </c>
      <c r="N54" s="101">
        <f t="shared" si="20"/>
        <v>0.39707916359094847</v>
      </c>
      <c r="O54" s="101" t="str">
        <f t="shared" si="20"/>
        <v/>
      </c>
      <c r="P54" s="101" t="str">
        <f t="shared" si="20"/>
        <v/>
      </c>
      <c r="Q54" s="101" t="str">
        <f t="shared" si="20"/>
        <v/>
      </c>
      <c r="R54" s="101" t="str">
        <f t="shared" si="20"/>
        <v/>
      </c>
      <c r="S54" s="101" t="str">
        <f t="shared" si="20"/>
        <v/>
      </c>
      <c r="T54" s="178">
        <f>$F$44</f>
        <v>0</v>
      </c>
    </row>
    <row r="55" spans="2:20" x14ac:dyDescent="0.3">
      <c r="B55" s="98" t="str">
        <f>"LTV With "&amp;TEXT(T55,"0.0%")&amp;" Reduction"</f>
        <v>LTV With 5.0% Reduction</v>
      </c>
      <c r="C55" s="98"/>
      <c r="D55" s="7"/>
      <c r="E55" s="101">
        <f t="shared" ref="E55:S55" si="21">IF(E$4="","",(E$13/(MAX(F49,E49)/E$11)))</f>
        <v>0.50322170982326475</v>
      </c>
      <c r="F55" s="101">
        <f t="shared" si="21"/>
        <v>0.49537096462496732</v>
      </c>
      <c r="G55" s="101">
        <f t="shared" si="21"/>
        <v>0.48760382406464559</v>
      </c>
      <c r="H55" s="101">
        <f t="shared" si="21"/>
        <v>0.4799208801499642</v>
      </c>
      <c r="I55" s="101">
        <f t="shared" si="21"/>
        <v>0.47232264627510401</v>
      </c>
      <c r="J55" s="101">
        <f t="shared" si="21"/>
        <v>0.4596142658612471</v>
      </c>
      <c r="K55" s="101">
        <f t="shared" si="21"/>
        <v>0.446815061418955</v>
      </c>
      <c r="L55" s="101">
        <f t="shared" si="21"/>
        <v>0.43391637906429076</v>
      </c>
      <c r="M55" s="101">
        <f t="shared" si="21"/>
        <v>0.42090907100264563</v>
      </c>
      <c r="N55" s="101">
        <f t="shared" si="21"/>
        <v>0.41797806693784051</v>
      </c>
      <c r="O55" s="101" t="str">
        <f t="shared" si="21"/>
        <v/>
      </c>
      <c r="P55" s="101" t="str">
        <f t="shared" si="21"/>
        <v/>
      </c>
      <c r="Q55" s="101" t="str">
        <f t="shared" si="21"/>
        <v/>
      </c>
      <c r="R55" s="101" t="str">
        <f t="shared" si="21"/>
        <v/>
      </c>
      <c r="S55" s="101" t="str">
        <f t="shared" si="21"/>
        <v/>
      </c>
      <c r="T55" s="178">
        <f>$G$44</f>
        <v>0.05</v>
      </c>
    </row>
    <row r="56" spans="2:20" x14ac:dyDescent="0.3">
      <c r="B56" s="98" t="str">
        <f>"LTV With "&amp;TEXT(T56,"0.0%")&amp;" Reduction"</f>
        <v>LTV With 10.0% Reduction</v>
      </c>
      <c r="C56" s="98"/>
      <c r="D56" s="7"/>
      <c r="E56" s="101">
        <f t="shared" ref="E56:S56" si="22">IF(E$4="","",(E$13/(MAX(F50,E50)/E$11)))</f>
        <v>0.53117847148011277</v>
      </c>
      <c r="F56" s="101">
        <f t="shared" si="22"/>
        <v>0.52289157377079887</v>
      </c>
      <c r="G56" s="101">
        <f t="shared" si="22"/>
        <v>0.5146929254015703</v>
      </c>
      <c r="H56" s="101">
        <f t="shared" si="22"/>
        <v>0.50658315126940667</v>
      </c>
      <c r="I56" s="101">
        <f t="shared" si="22"/>
        <v>0.4985627932903875</v>
      </c>
      <c r="J56" s="101">
        <f t="shared" si="22"/>
        <v>0.48514839174242741</v>
      </c>
      <c r="K56" s="101">
        <f t="shared" si="22"/>
        <v>0.47163812038667469</v>
      </c>
      <c r="L56" s="101">
        <f t="shared" si="22"/>
        <v>0.45802284456786241</v>
      </c>
      <c r="M56" s="101">
        <f t="shared" si="22"/>
        <v>0.44429290828057033</v>
      </c>
      <c r="N56" s="101">
        <f t="shared" si="22"/>
        <v>0.4411990706566094</v>
      </c>
      <c r="O56" s="101" t="str">
        <f t="shared" si="22"/>
        <v/>
      </c>
      <c r="P56" s="101" t="str">
        <f t="shared" si="22"/>
        <v/>
      </c>
      <c r="Q56" s="101" t="str">
        <f t="shared" si="22"/>
        <v/>
      </c>
      <c r="R56" s="101" t="str">
        <f t="shared" si="22"/>
        <v/>
      </c>
      <c r="S56" s="101" t="str">
        <f t="shared" si="22"/>
        <v/>
      </c>
      <c r="T56" s="178">
        <f>$H$44</f>
        <v>0.1</v>
      </c>
    </row>
    <row r="57" spans="2:20" x14ac:dyDescent="0.3">
      <c r="B57" s="98" t="str">
        <f>"LTV With "&amp;TEXT(T57,"0.0%")&amp;" Reduction"</f>
        <v>LTV With 15.0% Reduction</v>
      </c>
      <c r="C57" s="98"/>
      <c r="D57" s="7"/>
      <c r="E57" s="101">
        <f t="shared" ref="E57:S57" si="23">IF(E$4="","",(E$13/(MAX(F51,E51)/E$11)))</f>
        <v>0.56242426392011957</v>
      </c>
      <c r="F57" s="101">
        <f t="shared" si="23"/>
        <v>0.55364990163966943</v>
      </c>
      <c r="G57" s="101">
        <f t="shared" si="23"/>
        <v>0.54496897983695691</v>
      </c>
      <c r="H57" s="101">
        <f t="shared" si="23"/>
        <v>0.53638216016760709</v>
      </c>
      <c r="I57" s="101">
        <f t="shared" si="23"/>
        <v>0.52789001642511624</v>
      </c>
      <c r="J57" s="101">
        <f t="shared" si="23"/>
        <v>0.51368653243315843</v>
      </c>
      <c r="K57" s="101">
        <f t="shared" si="23"/>
        <v>0.49938153923294964</v>
      </c>
      <c r="L57" s="101">
        <f t="shared" si="23"/>
        <v>0.48496536483656016</v>
      </c>
      <c r="M57" s="101">
        <f t="shared" si="23"/>
        <v>0.47042778523825096</v>
      </c>
      <c r="N57" s="101">
        <f t="shared" si="23"/>
        <v>0.46715195716582175</v>
      </c>
      <c r="O57" s="101" t="str">
        <f t="shared" si="23"/>
        <v/>
      </c>
      <c r="P57" s="101" t="str">
        <f t="shared" si="23"/>
        <v/>
      </c>
      <c r="Q57" s="101" t="str">
        <f t="shared" si="23"/>
        <v/>
      </c>
      <c r="R57" s="101" t="str">
        <f t="shared" si="23"/>
        <v/>
      </c>
      <c r="S57" s="101" t="str">
        <f t="shared" si="23"/>
        <v/>
      </c>
      <c r="T57" s="178">
        <f>$I$44</f>
        <v>0.15000000000000002</v>
      </c>
    </row>
    <row r="58" spans="2:20" x14ac:dyDescent="0.3">
      <c r="B58" s="98" t="str">
        <f>"LTV With "&amp;TEXT(T58,"0.0%")&amp;" Reduction"</f>
        <v>LTV With 20.0% Reduction</v>
      </c>
      <c r="C58" s="98"/>
      <c r="D58" s="7"/>
      <c r="E58" s="101">
        <f t="shared" ref="E58:S58" si="24">IF(E$4="","",(E$13/(MAX(F52,E52)/E$11)))</f>
        <v>0.59757578041512693</v>
      </c>
      <c r="F58" s="101">
        <f t="shared" si="24"/>
        <v>0.58825302049214867</v>
      </c>
      <c r="G58" s="101">
        <f t="shared" si="24"/>
        <v>0.57902954107676663</v>
      </c>
      <c r="H58" s="101">
        <f t="shared" si="24"/>
        <v>0.56990604517808252</v>
      </c>
      <c r="I58" s="101">
        <f t="shared" si="24"/>
        <v>0.56088314245168591</v>
      </c>
      <c r="J58" s="101">
        <f t="shared" si="24"/>
        <v>0.54579194071023085</v>
      </c>
      <c r="K58" s="101">
        <f t="shared" si="24"/>
        <v>0.53059288543500893</v>
      </c>
      <c r="L58" s="101">
        <f t="shared" si="24"/>
        <v>0.51527570013884527</v>
      </c>
      <c r="M58" s="101">
        <f t="shared" si="24"/>
        <v>0.49982952181564166</v>
      </c>
      <c r="N58" s="101">
        <f t="shared" si="24"/>
        <v>0.49634895448868555</v>
      </c>
      <c r="O58" s="101" t="str">
        <f t="shared" si="24"/>
        <v/>
      </c>
      <c r="P58" s="101" t="str">
        <f t="shared" si="24"/>
        <v/>
      </c>
      <c r="Q58" s="101" t="str">
        <f t="shared" si="24"/>
        <v/>
      </c>
      <c r="R58" s="101" t="str">
        <f t="shared" si="24"/>
        <v/>
      </c>
      <c r="S58" s="101" t="str">
        <f t="shared" si="24"/>
        <v/>
      </c>
      <c r="T58" s="178">
        <f>$J$44</f>
        <v>0.2</v>
      </c>
    </row>
    <row r="59" spans="2:20" ht="4.9000000000000004" customHeight="1" x14ac:dyDescent="0.3">
      <c r="B59" s="98"/>
      <c r="C59" s="98"/>
      <c r="D59" s="7"/>
      <c r="E59" s="101"/>
      <c r="F59" s="101"/>
      <c r="G59" s="101"/>
      <c r="H59" s="101"/>
      <c r="I59" s="101"/>
      <c r="J59" s="101"/>
      <c r="K59" s="101"/>
      <c r="L59" s="101"/>
      <c r="M59" s="101"/>
      <c r="N59" s="101"/>
      <c r="O59" s="101"/>
      <c r="P59" s="101"/>
      <c r="Q59" s="101"/>
      <c r="R59" s="101"/>
      <c r="S59" s="101"/>
      <c r="T59" s="178"/>
    </row>
    <row r="60" spans="2:20" x14ac:dyDescent="0.3">
      <c r="B60" s="98" t="str">
        <f>"NOI DSCR With "&amp;TEXT(T60,"0.0%")&amp;" Reduction"</f>
        <v>NOI DSCR With 0.0% Reduction</v>
      </c>
      <c r="C60" s="98"/>
      <c r="D60" s="7"/>
      <c r="E60" s="161">
        <f>IF(E$4="","",(MAX(E48:F48))/E$7)</f>
        <v>1.7860624999999994</v>
      </c>
      <c r="F60" s="161">
        <f t="shared" ref="F60:S60" si="25">IF(F$4="","",(MAX(F48:G48))/F$7)</f>
        <v>1.8307140624999994</v>
      </c>
      <c r="G60" s="161">
        <f t="shared" si="25"/>
        <v>1.8764819140624991</v>
      </c>
      <c r="H60" s="161">
        <f t="shared" si="25"/>
        <v>1.9233939619140612</v>
      </c>
      <c r="I60" s="161">
        <f t="shared" si="25"/>
        <v>1.9714788109619126</v>
      </c>
      <c r="J60" s="161">
        <f t="shared" si="25"/>
        <v>1.7317463060181688</v>
      </c>
      <c r="K60" s="161">
        <f t="shared" si="25"/>
        <v>1.7750399636686229</v>
      </c>
      <c r="L60" s="161">
        <f t="shared" si="25"/>
        <v>1.8194159627603386</v>
      </c>
      <c r="M60" s="161">
        <f t="shared" si="25"/>
        <v>1.8649013618293468</v>
      </c>
      <c r="N60" s="161">
        <f t="shared" si="25"/>
        <v>1.8649013618293468</v>
      </c>
      <c r="O60" s="161" t="str">
        <f t="shared" si="25"/>
        <v/>
      </c>
      <c r="P60" s="161" t="str">
        <f t="shared" si="25"/>
        <v/>
      </c>
      <c r="Q60" s="161" t="str">
        <f t="shared" si="25"/>
        <v/>
      </c>
      <c r="R60" s="161" t="str">
        <f t="shared" si="25"/>
        <v/>
      </c>
      <c r="S60" s="161" t="str">
        <f t="shared" si="25"/>
        <v/>
      </c>
      <c r="T60" s="178">
        <f>$F$44</f>
        <v>0</v>
      </c>
    </row>
    <row r="61" spans="2:20" x14ac:dyDescent="0.3">
      <c r="B61" s="98" t="str">
        <f>"NOI DSCR With "&amp;TEXT(T61,"0.0%")&amp;" Reduction"</f>
        <v>NOI DSCR With 5.0% Reduction</v>
      </c>
      <c r="C61" s="98"/>
      <c r="D61" s="7"/>
      <c r="E61" s="161">
        <f t="shared" ref="E61:S61" si="26">IF(E$4="","",(MAX(E49:F49))/E$7)</f>
        <v>1.6967593749999994</v>
      </c>
      <c r="F61" s="161">
        <f t="shared" si="26"/>
        <v>1.7391783593749992</v>
      </c>
      <c r="G61" s="161">
        <f t="shared" si="26"/>
        <v>1.7826578183593742</v>
      </c>
      <c r="H61" s="161">
        <f t="shared" si="26"/>
        <v>1.8272242638183582</v>
      </c>
      <c r="I61" s="161">
        <f t="shared" si="26"/>
        <v>1.8729048704138167</v>
      </c>
      <c r="J61" s="161">
        <f t="shared" si="26"/>
        <v>1.6451589907172603</v>
      </c>
      <c r="K61" s="161">
        <f t="shared" si="26"/>
        <v>1.6862879654851917</v>
      </c>
      <c r="L61" s="161">
        <f t="shared" si="26"/>
        <v>1.7284451646223216</v>
      </c>
      <c r="M61" s="161">
        <f t="shared" si="26"/>
        <v>1.7716562937378793</v>
      </c>
      <c r="N61" s="161">
        <f t="shared" si="26"/>
        <v>1.7716562937378793</v>
      </c>
      <c r="O61" s="161" t="str">
        <f t="shared" si="26"/>
        <v/>
      </c>
      <c r="P61" s="161" t="str">
        <f t="shared" si="26"/>
        <v/>
      </c>
      <c r="Q61" s="161" t="str">
        <f t="shared" si="26"/>
        <v/>
      </c>
      <c r="R61" s="161" t="str">
        <f t="shared" si="26"/>
        <v/>
      </c>
      <c r="S61" s="161" t="str">
        <f t="shared" si="26"/>
        <v/>
      </c>
      <c r="T61" s="178">
        <f>$G$44</f>
        <v>0.05</v>
      </c>
    </row>
    <row r="62" spans="2:20" x14ac:dyDescent="0.3">
      <c r="B62" s="98" t="str">
        <f>"NOI DSCR With "&amp;TEXT(T62,"0.0%")&amp;" Reduction"</f>
        <v>NOI DSCR With 10.0% Reduction</v>
      </c>
      <c r="C62" s="98"/>
      <c r="D62" s="7"/>
      <c r="E62" s="161">
        <f t="shared" ref="E62:S62" si="27">IF(E$4="","",(MAX(E50:F50))/E$7)</f>
        <v>1.6074562499999996</v>
      </c>
      <c r="F62" s="161">
        <f t="shared" si="27"/>
        <v>1.6476426562499995</v>
      </c>
      <c r="G62" s="161">
        <f t="shared" si="27"/>
        <v>1.6888337226562491</v>
      </c>
      <c r="H62" s="161">
        <f t="shared" si="27"/>
        <v>1.7310545657226553</v>
      </c>
      <c r="I62" s="161">
        <f t="shared" si="27"/>
        <v>1.7743309298657213</v>
      </c>
      <c r="J62" s="161">
        <f t="shared" si="27"/>
        <v>1.5585716754163521</v>
      </c>
      <c r="K62" s="161">
        <f t="shared" si="27"/>
        <v>1.5975359673017606</v>
      </c>
      <c r="L62" s="161">
        <f t="shared" si="27"/>
        <v>1.6374743664843048</v>
      </c>
      <c r="M62" s="161">
        <f t="shared" si="27"/>
        <v>1.6784112256464121</v>
      </c>
      <c r="N62" s="161">
        <f t="shared" si="27"/>
        <v>1.6784112256464121</v>
      </c>
      <c r="O62" s="161" t="str">
        <f t="shared" si="27"/>
        <v/>
      </c>
      <c r="P62" s="161" t="str">
        <f t="shared" si="27"/>
        <v/>
      </c>
      <c r="Q62" s="161" t="str">
        <f t="shared" si="27"/>
        <v/>
      </c>
      <c r="R62" s="161" t="str">
        <f t="shared" si="27"/>
        <v/>
      </c>
      <c r="S62" s="161" t="str">
        <f t="shared" si="27"/>
        <v/>
      </c>
      <c r="T62" s="178">
        <f>$H$44</f>
        <v>0.1</v>
      </c>
    </row>
    <row r="63" spans="2:20" x14ac:dyDescent="0.3">
      <c r="B63" s="98" t="str">
        <f>"NOI DSCR With "&amp;TEXT(T63,"0.0%")&amp;" Reduction"</f>
        <v>NOI DSCR With 15.0% Reduction</v>
      </c>
      <c r="C63" s="98"/>
      <c r="D63" s="7"/>
      <c r="E63" s="161">
        <f t="shared" ref="E63:S63" si="28">IF(E$4="","",(MAX(E51:F51))/E$7)</f>
        <v>1.5181531249999993</v>
      </c>
      <c r="F63" s="161">
        <f t="shared" si="28"/>
        <v>1.5561069531249996</v>
      </c>
      <c r="G63" s="161">
        <f t="shared" si="28"/>
        <v>1.5950096269531242</v>
      </c>
      <c r="H63" s="161">
        <f t="shared" si="28"/>
        <v>1.6348848676269523</v>
      </c>
      <c r="I63" s="161">
        <f t="shared" si="28"/>
        <v>1.6757569893176256</v>
      </c>
      <c r="J63" s="161">
        <f t="shared" si="28"/>
        <v>1.4719843601154434</v>
      </c>
      <c r="K63" s="161">
        <f t="shared" si="28"/>
        <v>1.5087839691183296</v>
      </c>
      <c r="L63" s="161">
        <f t="shared" si="28"/>
        <v>1.5465035683462878</v>
      </c>
      <c r="M63" s="161">
        <f t="shared" si="28"/>
        <v>1.5851661575549447</v>
      </c>
      <c r="N63" s="161">
        <f t="shared" si="28"/>
        <v>1.5851661575549447</v>
      </c>
      <c r="O63" s="161" t="str">
        <f t="shared" si="28"/>
        <v/>
      </c>
      <c r="P63" s="161" t="str">
        <f t="shared" si="28"/>
        <v/>
      </c>
      <c r="Q63" s="161" t="str">
        <f t="shared" si="28"/>
        <v/>
      </c>
      <c r="R63" s="161" t="str">
        <f t="shared" si="28"/>
        <v/>
      </c>
      <c r="S63" s="161" t="str">
        <f t="shared" si="28"/>
        <v/>
      </c>
      <c r="T63" s="178">
        <f>$I$44</f>
        <v>0.15000000000000002</v>
      </c>
    </row>
    <row r="64" spans="2:20" x14ac:dyDescent="0.3">
      <c r="B64" s="98" t="str">
        <f>"NOI DSCR With "&amp;TEXT(T64,"0.0%")&amp;" Reduction"</f>
        <v>NOI DSCR With 20.0% Reduction</v>
      </c>
      <c r="C64" s="98"/>
      <c r="D64" s="7"/>
      <c r="E64" s="161">
        <f t="shared" ref="E64:S64" si="29">IF(E$4="","",(MAX(E52:F52))/E$7)</f>
        <v>1.4288499999999995</v>
      </c>
      <c r="F64" s="161">
        <f t="shared" si="29"/>
        <v>1.4645712499999994</v>
      </c>
      <c r="G64" s="161">
        <f t="shared" si="29"/>
        <v>1.5011855312499993</v>
      </c>
      <c r="H64" s="161">
        <f t="shared" si="29"/>
        <v>1.5387151695312491</v>
      </c>
      <c r="I64" s="161">
        <f t="shared" si="29"/>
        <v>1.57718304876953</v>
      </c>
      <c r="J64" s="161">
        <f t="shared" si="29"/>
        <v>1.3853970448145352</v>
      </c>
      <c r="K64" s="161">
        <f t="shared" si="29"/>
        <v>1.4200319709348985</v>
      </c>
      <c r="L64" s="161">
        <f t="shared" si="29"/>
        <v>1.455532770208271</v>
      </c>
      <c r="M64" s="161">
        <f t="shared" si="29"/>
        <v>1.4919210894634773</v>
      </c>
      <c r="N64" s="161">
        <f t="shared" si="29"/>
        <v>1.4919210894634773</v>
      </c>
      <c r="O64" s="161" t="str">
        <f t="shared" si="29"/>
        <v/>
      </c>
      <c r="P64" s="161" t="str">
        <f t="shared" si="29"/>
        <v/>
      </c>
      <c r="Q64" s="161" t="str">
        <f t="shared" si="29"/>
        <v/>
      </c>
      <c r="R64" s="161" t="str">
        <f t="shared" si="29"/>
        <v/>
      </c>
      <c r="S64" s="161" t="str">
        <f t="shared" si="29"/>
        <v/>
      </c>
      <c r="T64" s="178">
        <f>$J$44</f>
        <v>0.2</v>
      </c>
    </row>
    <row r="65" spans="2:20" ht="4.9000000000000004" customHeight="1" x14ac:dyDescent="0.3">
      <c r="B65" s="1"/>
      <c r="C65" s="1"/>
      <c r="D65" s="7"/>
      <c r="E65" s="102"/>
      <c r="F65" s="102"/>
      <c r="G65" s="102"/>
      <c r="H65" s="102"/>
      <c r="I65" s="102"/>
      <c r="J65" s="102"/>
      <c r="K65" s="102"/>
      <c r="L65" s="102"/>
      <c r="M65" s="102"/>
      <c r="N65" s="102"/>
      <c r="O65" s="102"/>
      <c r="P65" s="102"/>
      <c r="Q65" s="102"/>
      <c r="R65" s="102"/>
      <c r="S65" s="102"/>
    </row>
    <row r="66" spans="2:20" x14ac:dyDescent="0.3">
      <c r="B66" s="98" t="str">
        <f>"Refi. Proceeds With "&amp;TEXT(T66,"0.0%")&amp;" Reduction"</f>
        <v>Refi. Proceeds With 0.0% Reduction</v>
      </c>
      <c r="C66" s="98"/>
      <c r="D66" s="7"/>
      <c r="E66" s="86">
        <f>IF(E$4="","",MIN(MAX(F48,E48)/E$30,-PV(E$25/12,E$27*12,(MAX(E48,F48))/E$26/12,0),E$12*E$22)-E$34)</f>
        <v>338073.85026891995</v>
      </c>
      <c r="F66" s="86">
        <f t="shared" ref="F66:S66" si="30">IF(F$4="","",MIN(MAX(G48,F48)/F$30,-PV(F$25/12,F$27*12,(MAX(F48,G48))/F$26/12,0),F$12*F$22)-F$34)</f>
        <v>499084.53362971544</v>
      </c>
      <c r="G66" s="86">
        <f t="shared" si="30"/>
        <v>664120.48407453019</v>
      </c>
      <c r="H66" s="86">
        <f t="shared" si="30"/>
        <v>833282.33328046463</v>
      </c>
      <c r="I66" s="86">
        <f t="shared" si="30"/>
        <v>1006673.2287165476</v>
      </c>
      <c r="J66" s="86">
        <f t="shared" si="30"/>
        <v>1252606.4556369865</v>
      </c>
      <c r="K66" s="86">
        <f t="shared" si="30"/>
        <v>1507550.8108063722</v>
      </c>
      <c r="L66" s="86">
        <f t="shared" si="30"/>
        <v>1771923.2992864978</v>
      </c>
      <c r="M66" s="86">
        <f t="shared" si="30"/>
        <v>2046164.1915682945</v>
      </c>
      <c r="N66" s="86">
        <f t="shared" si="30"/>
        <v>2134562.5820095679</v>
      </c>
      <c r="O66" s="86" t="str">
        <f t="shared" si="30"/>
        <v/>
      </c>
      <c r="P66" s="86" t="str">
        <f t="shared" si="30"/>
        <v/>
      </c>
      <c r="Q66" s="86" t="str">
        <f t="shared" si="30"/>
        <v/>
      </c>
      <c r="R66" s="86" t="str">
        <f t="shared" si="30"/>
        <v/>
      </c>
      <c r="S66" s="86" t="str">
        <f t="shared" si="30"/>
        <v/>
      </c>
      <c r="T66" s="178">
        <f>$F$44</f>
        <v>0</v>
      </c>
    </row>
    <row r="67" spans="2:20" x14ac:dyDescent="0.3">
      <c r="B67" s="98" t="str">
        <f>"Refi. Proceeds With "&amp;TEXT(T67,"0.0%")&amp;" Reduction"</f>
        <v>Refi. Proceeds With 5.0% Reduction</v>
      </c>
      <c r="C67" s="98"/>
      <c r="D67" s="7"/>
      <c r="E67" s="86">
        <f t="shared" ref="E67:S67" si="31">IF(E$4="","",MIN(MAX(F49,E49)/E$30,-PV(E$25/12,E$27*12,(MAX(E49,F49))/E$26/12,0),E$12*E$22)-E$34)</f>
        <v>16052.483547329903</v>
      </c>
      <c r="F67" s="86">
        <f t="shared" si="31"/>
        <v>169012.63274008501</v>
      </c>
      <c r="G67" s="86">
        <f t="shared" si="31"/>
        <v>325796.78566265851</v>
      </c>
      <c r="H67" s="86">
        <f t="shared" si="31"/>
        <v>486500.54240829684</v>
      </c>
      <c r="I67" s="86">
        <f t="shared" si="31"/>
        <v>651221.8930725744</v>
      </c>
      <c r="J67" s="86">
        <f t="shared" si="31"/>
        <v>888268.83660191484</v>
      </c>
      <c r="K67" s="86">
        <f t="shared" si="31"/>
        <v>1134104.7512954241</v>
      </c>
      <c r="L67" s="86">
        <f t="shared" si="31"/>
        <v>1389141.0882877763</v>
      </c>
      <c r="M67" s="86">
        <f t="shared" si="31"/>
        <v>1653812.4252946042</v>
      </c>
      <c r="N67" s="86">
        <f t="shared" si="31"/>
        <v>1742210.8157358775</v>
      </c>
      <c r="O67" s="86" t="str">
        <f t="shared" si="31"/>
        <v/>
      </c>
      <c r="P67" s="86" t="str">
        <f t="shared" si="31"/>
        <v/>
      </c>
      <c r="Q67" s="86" t="str">
        <f t="shared" si="31"/>
        <v/>
      </c>
      <c r="R67" s="86" t="str">
        <f t="shared" si="31"/>
        <v/>
      </c>
      <c r="S67" s="86" t="str">
        <f t="shared" si="31"/>
        <v/>
      </c>
      <c r="T67" s="178">
        <f>$G$44</f>
        <v>0.05</v>
      </c>
    </row>
    <row r="68" spans="2:20" x14ac:dyDescent="0.3">
      <c r="B68" s="98" t="str">
        <f>"Refi. Proceeds With "&amp;TEXT(T68,"0.0%")&amp;" Reduction"</f>
        <v>Refi. Proceeds With 10.0% Reduction</v>
      </c>
      <c r="C68" s="98"/>
      <c r="D68" s="7"/>
      <c r="E68" s="86">
        <f t="shared" ref="E68:S68" si="32">IF(E$4="","",MIN(MAX(F50,E50)/E$30,-PV(E$25/12,E$27*12,(MAX(E50,F50))/E$26/12,0),E$12*E$22)-E$34)</f>
        <v>-305968.88317426108</v>
      </c>
      <c r="F68" s="86">
        <f t="shared" si="32"/>
        <v>-161059.26814954542</v>
      </c>
      <c r="G68" s="86">
        <f t="shared" si="32"/>
        <v>-12526.912749213167</v>
      </c>
      <c r="H68" s="86">
        <f t="shared" si="32"/>
        <v>139718.75153612904</v>
      </c>
      <c r="I68" s="86">
        <f t="shared" si="32"/>
        <v>295770.55742860306</v>
      </c>
      <c r="J68" s="86">
        <f t="shared" si="32"/>
        <v>523931.21756684408</v>
      </c>
      <c r="K68" s="86">
        <f t="shared" si="32"/>
        <v>760658.69178447593</v>
      </c>
      <c r="L68" s="86">
        <f t="shared" si="32"/>
        <v>1006358.877289054</v>
      </c>
      <c r="M68" s="86">
        <f t="shared" si="32"/>
        <v>1261460.6590209147</v>
      </c>
      <c r="N68" s="86">
        <f t="shared" si="32"/>
        <v>1349859.049462188</v>
      </c>
      <c r="O68" s="86" t="str">
        <f t="shared" si="32"/>
        <v/>
      </c>
      <c r="P68" s="86" t="str">
        <f t="shared" si="32"/>
        <v/>
      </c>
      <c r="Q68" s="86" t="str">
        <f t="shared" si="32"/>
        <v/>
      </c>
      <c r="R68" s="86" t="str">
        <f t="shared" si="32"/>
        <v/>
      </c>
      <c r="S68" s="86" t="str">
        <f t="shared" si="32"/>
        <v/>
      </c>
      <c r="T68" s="178">
        <f>$H$44</f>
        <v>0.1</v>
      </c>
    </row>
    <row r="69" spans="2:20" x14ac:dyDescent="0.3">
      <c r="B69" s="98" t="str">
        <f>"Refi. Proceeds With "&amp;TEXT(T69,"0.0%")&amp;" Reduction"</f>
        <v>Refi. Proceeds With 15.0% Reduction</v>
      </c>
      <c r="C69" s="98"/>
      <c r="D69" s="7"/>
      <c r="E69" s="86">
        <f t="shared" ref="E69:S69" si="33">IF(E$4="","",MIN(MAX(F51,E51)/E$30,-PV(E$25/12,E$27*12,(MAX(E51,F51))/E$26/12,0),E$12*E$22)-E$34)</f>
        <v>-627990.24989585299</v>
      </c>
      <c r="F69" s="86">
        <f t="shared" si="33"/>
        <v>-491131.16903917585</v>
      </c>
      <c r="G69" s="86">
        <f t="shared" si="33"/>
        <v>-350850.61116108391</v>
      </c>
      <c r="H69" s="86">
        <f t="shared" si="33"/>
        <v>-207063.03933603968</v>
      </c>
      <c r="I69" s="86">
        <f t="shared" si="33"/>
        <v>-59680.77821536921</v>
      </c>
      <c r="J69" s="86">
        <f t="shared" si="33"/>
        <v>159593.59853177238</v>
      </c>
      <c r="K69" s="86">
        <f t="shared" si="33"/>
        <v>387212.63227352779</v>
      </c>
      <c r="L69" s="86">
        <f t="shared" si="33"/>
        <v>623576.66629033256</v>
      </c>
      <c r="M69" s="86">
        <f t="shared" si="33"/>
        <v>869108.89274722431</v>
      </c>
      <c r="N69" s="86">
        <f t="shared" si="33"/>
        <v>957507.28318849765</v>
      </c>
      <c r="O69" s="86" t="str">
        <f t="shared" si="33"/>
        <v/>
      </c>
      <c r="P69" s="86" t="str">
        <f t="shared" si="33"/>
        <v/>
      </c>
      <c r="Q69" s="86" t="str">
        <f t="shared" si="33"/>
        <v/>
      </c>
      <c r="R69" s="86" t="str">
        <f t="shared" si="33"/>
        <v/>
      </c>
      <c r="S69" s="86" t="str">
        <f t="shared" si="33"/>
        <v/>
      </c>
      <c r="T69" s="178">
        <f>$I$44</f>
        <v>0.15000000000000002</v>
      </c>
    </row>
    <row r="70" spans="2:20" x14ac:dyDescent="0.3">
      <c r="B70" s="98" t="str">
        <f>"Refi. Proceeds With "&amp;TEXT(T70,"0.0%")&amp;" Reduction"</f>
        <v>Refi. Proceeds With 20.0% Reduction</v>
      </c>
      <c r="C70" s="98"/>
      <c r="D70" s="7"/>
      <c r="E70" s="86">
        <f t="shared" ref="E70:S70" si="34">IF(E$4="","",MIN(MAX(F52,E52)/E$30,-PV(E$25/12,E$27*12,(MAX(E52,F52))/E$26/12,0),E$12*E$22)-E$34)</f>
        <v>-950011.61661744304</v>
      </c>
      <c r="F70" s="86">
        <f t="shared" si="34"/>
        <v>-821203.06992880721</v>
      </c>
      <c r="G70" s="86">
        <f t="shared" si="34"/>
        <v>-689174.30957295559</v>
      </c>
      <c r="H70" s="86">
        <f t="shared" si="34"/>
        <v>-553844.83020820748</v>
      </c>
      <c r="I70" s="86">
        <f t="shared" si="34"/>
        <v>-415132.11385934148</v>
      </c>
      <c r="J70" s="86">
        <f t="shared" si="34"/>
        <v>-204744.02050329838</v>
      </c>
      <c r="K70" s="86">
        <f t="shared" si="34"/>
        <v>13766.572762579657</v>
      </c>
      <c r="L70" s="86">
        <f t="shared" si="34"/>
        <v>240794.45529161114</v>
      </c>
      <c r="M70" s="86">
        <f t="shared" si="34"/>
        <v>476757.12647353485</v>
      </c>
      <c r="N70" s="86">
        <f t="shared" si="34"/>
        <v>565155.51691480819</v>
      </c>
      <c r="O70" s="86" t="str">
        <f t="shared" si="34"/>
        <v/>
      </c>
      <c r="P70" s="86" t="str">
        <f t="shared" si="34"/>
        <v/>
      </c>
      <c r="Q70" s="86" t="str">
        <f t="shared" si="34"/>
        <v/>
      </c>
      <c r="R70" s="86" t="str">
        <f t="shared" si="34"/>
        <v/>
      </c>
      <c r="S70" s="86" t="str">
        <f t="shared" si="34"/>
        <v/>
      </c>
      <c r="T70" s="178">
        <f>$J$44</f>
        <v>0.2</v>
      </c>
    </row>
    <row r="71" spans="2:20" x14ac:dyDescent="0.3"/>
  </sheetData>
  <conditionalFormatting sqref="E54:S59">
    <cfRule type="expression" dxfId="3" priority="4">
      <formula>E$22&lt;E54</formula>
    </cfRule>
  </conditionalFormatting>
  <conditionalFormatting sqref="E60:S64">
    <cfRule type="expression" dxfId="2" priority="2">
      <formula>E60&lt;E$26</formula>
    </cfRule>
  </conditionalFormatting>
  <conditionalFormatting sqref="E66:S70">
    <cfRule type="expression" dxfId="1" priority="1">
      <formula>E66&lt;0</formula>
    </cfRule>
  </conditionalFormatting>
  <printOptions horizontalCentered="1"/>
  <pageMargins left="0.25" right="0.25" top="0.75" bottom="0.75" header="0.3" footer="0.3"/>
  <pageSetup scale="54" orientation="landscape" r:id="rId1"/>
  <headerFooter>
    <oddFooter>&amp;CPAGE &amp;P OF &amp;N - UNDERWRITING PRO FORMA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48E76-A573-470B-AB4B-1869F53A2811}">
  <sheetPr>
    <tabColor theme="4" tint="0.79998168889431442"/>
    <pageSetUpPr fitToPage="1"/>
  </sheetPr>
  <dimension ref="A1:I630"/>
  <sheetViews>
    <sheetView showGridLines="0" zoomScale="85" zoomScaleNormal="85" workbookViewId="0"/>
  </sheetViews>
  <sheetFormatPr defaultColWidth="0" defaultRowHeight="14.25" customHeight="1" x14ac:dyDescent="0.2"/>
  <cols>
    <col min="1" max="1" width="0.875" style="1" customWidth="1"/>
    <col min="2" max="2" width="20.75" style="1" customWidth="1"/>
    <col min="3" max="3" width="15.75" style="1" customWidth="1"/>
    <col min="4" max="4" width="17" style="7" customWidth="1"/>
    <col min="5" max="5" width="1.25" style="1" customWidth="1"/>
    <col min="6" max="6" width="20.75" style="1" customWidth="1"/>
    <col min="7" max="7" width="15.75" style="1" customWidth="1"/>
    <col min="8" max="8" width="17" style="7" customWidth="1"/>
    <col min="9" max="9" width="0.875" style="1" customWidth="1"/>
    <col min="10" max="16384" width="8.875" style="1" hidden="1"/>
  </cols>
  <sheetData>
    <row r="1" spans="2:8" ht="5.0999999999999996" customHeight="1" x14ac:dyDescent="0.2"/>
    <row r="2" spans="2:8" s="3" customFormat="1" ht="18" x14ac:dyDescent="0.25">
      <c r="B2" s="21" t="s">
        <v>228</v>
      </c>
      <c r="C2" s="2"/>
      <c r="D2" s="4"/>
      <c r="E2" s="2"/>
      <c r="F2" s="2"/>
      <c r="G2" s="2"/>
      <c r="H2" s="4"/>
    </row>
    <row r="3" spans="2:8" s="3" customFormat="1" x14ac:dyDescent="0.2">
      <c r="B3" s="2" t="str">
        <f>UPPER(Inv_Name)</f>
        <v>[INVESTMENT NAME]</v>
      </c>
      <c r="C3" s="2"/>
      <c r="D3" s="4"/>
      <c r="E3" s="2"/>
      <c r="F3" s="2"/>
      <c r="G3" s="2"/>
      <c r="H3" s="4" t="str">
        <f>Inv_Number</f>
        <v>[12345]</v>
      </c>
    </row>
    <row r="4" spans="2:8" x14ac:dyDescent="0.2">
      <c r="B4" s="6" t="s">
        <v>241</v>
      </c>
      <c r="C4" s="6"/>
      <c r="D4" s="8"/>
      <c r="E4" s="6"/>
      <c r="F4" s="6"/>
      <c r="G4" s="6"/>
      <c r="H4" s="8"/>
    </row>
    <row r="5" spans="2:8" x14ac:dyDescent="0.2">
      <c r="B5" s="1" t="s">
        <v>242</v>
      </c>
      <c r="D5" s="12">
        <f ca="1">IF(D11="Yield Maintenance",MAX(NPV(H22,OFFSET(C30,D10+1,0,H12+1,1))-D6,D6*H10),D6*H10)</f>
        <v>314770.13461809233</v>
      </c>
      <c r="F5" s="1" t="s">
        <v>245</v>
      </c>
      <c r="H5" s="12">
        <f ca="1">D5+D6</f>
        <v>6325179.7989037009</v>
      </c>
    </row>
    <row r="6" spans="2:8" x14ac:dyDescent="0.2">
      <c r="B6" s="1" t="s">
        <v>246</v>
      </c>
      <c r="D6" s="12" cm="1">
        <f t="array" ref="D6">INDEX(Amortization!$K$5:$K$605,D10)</f>
        <v>6010409.6642856086</v>
      </c>
      <c r="F6" s="1" t="s">
        <v>244</v>
      </c>
      <c r="H6" s="209" cm="1">
        <f t="array" ref="H6">INDEX(Amortization!$D$5:$D$605,D10)</f>
        <v>47408</v>
      </c>
    </row>
    <row r="7" spans="2:8" x14ac:dyDescent="0.2">
      <c r="D7" s="210"/>
      <c r="H7" s="9"/>
    </row>
    <row r="8" spans="2:8" ht="5.0999999999999996" customHeight="1" x14ac:dyDescent="0.2"/>
    <row r="9" spans="2:8" x14ac:dyDescent="0.2">
      <c r="B9" s="6" t="s">
        <v>229</v>
      </c>
      <c r="C9" s="6"/>
      <c r="D9" s="8"/>
      <c r="E9" s="6"/>
      <c r="F9" s="6"/>
      <c r="G9" s="6"/>
      <c r="H9" s="8"/>
    </row>
    <row r="10" spans="2:8" x14ac:dyDescent="0.2">
      <c r="B10" s="1" t="s">
        <v>230</v>
      </c>
      <c r="D10" s="199">
        <v>77</v>
      </c>
      <c r="F10" s="1" t="s">
        <v>232</v>
      </c>
      <c r="H10" s="141">
        <v>0.01</v>
      </c>
    </row>
    <row r="11" spans="2:8" x14ac:dyDescent="0.2">
      <c r="B11" s="1" t="s">
        <v>231</v>
      </c>
      <c r="D11" s="9" t="s">
        <v>239</v>
      </c>
      <c r="F11" s="1" t="str">
        <f>IF(D11="Yield Maintenance","Yield Maintenance Benchmark Spread","")</f>
        <v>Yield Maintenance Benchmark Spread</v>
      </c>
      <c r="H11" s="204">
        <v>50</v>
      </c>
    </row>
    <row r="12" spans="2:8" x14ac:dyDescent="0.2">
      <c r="D12" s="9"/>
      <c r="F12" s="1" t="s">
        <v>233</v>
      </c>
      <c r="H12" s="200">
        <f>'Loan Terms'!H9*12-D10</f>
        <v>43</v>
      </c>
    </row>
    <row r="13" spans="2:8" ht="5.0999999999999996" customHeight="1" x14ac:dyDescent="0.2">
      <c r="D13" s="9"/>
      <c r="H13" s="10"/>
    </row>
    <row r="14" spans="2:8" x14ac:dyDescent="0.2">
      <c r="B14" s="6" t="s">
        <v>234</v>
      </c>
      <c r="C14" s="32"/>
      <c r="D14" s="33"/>
      <c r="E14" s="6"/>
      <c r="F14" s="6" t="s">
        <v>124</v>
      </c>
      <c r="G14" s="32"/>
      <c r="H14" s="33"/>
    </row>
    <row r="15" spans="2:8" x14ac:dyDescent="0.2">
      <c r="B15" s="1" t="s">
        <v>235</v>
      </c>
      <c r="D15" s="201" t="s">
        <v>236</v>
      </c>
      <c r="F15" s="1" t="s">
        <v>233</v>
      </c>
      <c r="H15" s="200">
        <f>H12</f>
        <v>43</v>
      </c>
    </row>
    <row r="16" spans="2:8" x14ac:dyDescent="0.2">
      <c r="B16" s="1" t="str">
        <f xml:space="preserve"> "6 Month "&amp;$D$15</f>
        <v>6 Month UST</v>
      </c>
      <c r="C16" s="206">
        <v>6</v>
      </c>
      <c r="D16" s="202">
        <v>5.3900000000000003E-2</v>
      </c>
      <c r="F16" s="1" t="str">
        <f>INDEX($B$16:$B$24,MATCH($H$15,$C$16:$C$24,1))</f>
        <v>3 Year UST</v>
      </c>
      <c r="G16" s="206">
        <f>INDEX($C$16:$C$24,MATCH($H$15,$C$16:$C$24,1))</f>
        <v>36</v>
      </c>
      <c r="H16" s="203">
        <f>INDEX($D$16:$D$24,MATCH($H$15,$C$16:$C$24,1))</f>
        <v>4.4600000000000001E-2</v>
      </c>
    </row>
    <row r="17" spans="2:8" x14ac:dyDescent="0.2">
      <c r="B17" s="1" t="str">
        <f xml:space="preserve"> "1 Year "&amp;$D$15</f>
        <v>1 Year UST</v>
      </c>
      <c r="C17" s="206">
        <v>12</v>
      </c>
      <c r="D17" s="202">
        <v>5.1389999999999998E-2</v>
      </c>
      <c r="F17" s="1" t="str" cm="1">
        <f t="array" ref="F17">IF(G16=H15,F16,INDEX($B$16:$B$24,MATCH($H$15,$C$16:$C$24,1)+1))</f>
        <v>5 Year UST</v>
      </c>
      <c r="G17" s="206" cm="1">
        <f t="array" ref="G17">IF(G16=H15,G16,INDEX($C$16:$C$24,MATCH($H$15,$C$16:$C$24,1)+1))</f>
        <v>60</v>
      </c>
      <c r="H17" s="203" cm="1">
        <f t="array" ref="H17">IF(G16=G17,H16,INDEX($D$16:$D$24,MATCH($H$15,$C$16:$C$24,1)+1))</f>
        <v>4.2430000000000002E-2</v>
      </c>
    </row>
    <row r="18" spans="2:8" x14ac:dyDescent="0.2">
      <c r="B18" s="1" t="str">
        <f xml:space="preserve"> "2 Year "&amp;$D$15</f>
        <v>2 Year UST</v>
      </c>
      <c r="C18" s="206">
        <v>24</v>
      </c>
      <c r="D18" s="202">
        <v>4.7230000000000001E-2</v>
      </c>
      <c r="F18" s="1" t="str">
        <f>"Interpolated Rate - "&amp;H15&amp;" months"</f>
        <v>Interpolated Rate - 43 months</v>
      </c>
      <c r="H18" s="203">
        <f>IF(G16=G17,H17,(H17-H16)*((H15-G16)/(G17-G16))+H16)</f>
        <v>4.3967083333333337E-2</v>
      </c>
    </row>
    <row r="19" spans="2:8" x14ac:dyDescent="0.2">
      <c r="B19" s="1" t="str">
        <f xml:space="preserve"> "3 Year "&amp;$D$15</f>
        <v>3 Year UST</v>
      </c>
      <c r="C19" s="206">
        <v>36</v>
      </c>
      <c r="D19" s="202">
        <v>4.4600000000000001E-2</v>
      </c>
      <c r="F19" s="1" t="s">
        <v>238</v>
      </c>
      <c r="H19" s="203">
        <f>(1+H18/2)^2-1</f>
        <v>4.4450359437543607E-2</v>
      </c>
    </row>
    <row r="20" spans="2:8" x14ac:dyDescent="0.2">
      <c r="B20" s="1" t="str">
        <f xml:space="preserve"> "5 Year "&amp;$D$15</f>
        <v>5 Year UST</v>
      </c>
      <c r="C20" s="206">
        <v>60</v>
      </c>
      <c r="D20" s="202">
        <v>4.2430000000000002E-2</v>
      </c>
      <c r="F20" s="1" t="s">
        <v>91</v>
      </c>
      <c r="H20" s="205">
        <f>H11</f>
        <v>50</v>
      </c>
    </row>
    <row r="21" spans="2:8" x14ac:dyDescent="0.2">
      <c r="B21" s="1" t="str">
        <f xml:space="preserve"> "7 Year "&amp;$D$15</f>
        <v>7 Year UST</v>
      </c>
      <c r="C21" s="206">
        <v>84</v>
      </c>
      <c r="D21" s="202">
        <v>4.2709999999999998E-2</v>
      </c>
      <c r="F21" s="1" t="s">
        <v>240</v>
      </c>
      <c r="H21" s="211">
        <f>H19+H20/10000</f>
        <v>4.9450359437543605E-2</v>
      </c>
    </row>
    <row r="22" spans="2:8" x14ac:dyDescent="0.2">
      <c r="B22" s="1" t="str">
        <f xml:space="preserve"> "10 Year "&amp;$D$15</f>
        <v>10 Year UST</v>
      </c>
      <c r="C22" s="206">
        <v>120</v>
      </c>
      <c r="D22" s="202">
        <v>4.2290000000000001E-2</v>
      </c>
      <c r="F22" s="1" t="s">
        <v>247</v>
      </c>
      <c r="H22" s="203">
        <f>(1+H21)^(1/12)-1</f>
        <v>4.0303132821544185E-3</v>
      </c>
    </row>
    <row r="23" spans="2:8" x14ac:dyDescent="0.2">
      <c r="B23" s="1" t="str">
        <f xml:space="preserve"> "20 Year "&amp;$D$15</f>
        <v>20 Year UST</v>
      </c>
      <c r="C23" s="206">
        <v>240</v>
      </c>
      <c r="D23" s="202">
        <v>4.4889999999999999E-2</v>
      </c>
      <c r="H23" s="20"/>
    </row>
    <row r="24" spans="2:8" x14ac:dyDescent="0.2">
      <c r="B24" s="1" t="str">
        <f xml:space="preserve"> "30 Year "&amp;$D$15</f>
        <v>30 Year UST</v>
      </c>
      <c r="C24" s="206">
        <v>360</v>
      </c>
      <c r="D24" s="202">
        <v>4.308E-2</v>
      </c>
      <c r="H24" s="20"/>
    </row>
    <row r="25" spans="2:8" x14ac:dyDescent="0.2">
      <c r="B25" s="1" t="s">
        <v>243</v>
      </c>
      <c r="C25" s="232" t="s">
        <v>237</v>
      </c>
      <c r="D25" s="232"/>
      <c r="E25" s="232"/>
      <c r="F25" s="232"/>
      <c r="G25" s="232"/>
      <c r="H25" s="232"/>
    </row>
    <row r="26" spans="2:8" ht="5.0999999999999996" customHeight="1" x14ac:dyDescent="0.2">
      <c r="C26" s="14"/>
      <c r="D26" s="20"/>
      <c r="H26" s="10"/>
    </row>
    <row r="27" spans="2:8" x14ac:dyDescent="0.2">
      <c r="B27" s="6" t="s">
        <v>254</v>
      </c>
      <c r="C27" s="6"/>
      <c r="D27" s="8"/>
      <c r="E27" s="6"/>
      <c r="F27" s="6"/>
      <c r="G27" s="6"/>
      <c r="H27" s="8"/>
    </row>
    <row r="28" spans="2:8" x14ac:dyDescent="0.2">
      <c r="B28" s="22"/>
    </row>
    <row r="29" spans="2:8" x14ac:dyDescent="0.2">
      <c r="B29" s="208" t="s">
        <v>176</v>
      </c>
      <c r="C29" s="11" t="s">
        <v>183</v>
      </c>
      <c r="D29" s="11"/>
      <c r="E29" s="11"/>
      <c r="F29" s="11"/>
    </row>
    <row r="30" spans="2:8" x14ac:dyDescent="0.2">
      <c r="B30" s="207">
        <f>Amortization!B5</f>
        <v>0</v>
      </c>
      <c r="C30" s="12">
        <f>IF(B30&lt;=$D$10,0,Amortization!L5)</f>
        <v>0</v>
      </c>
      <c r="E30" s="7"/>
      <c r="F30" s="7"/>
    </row>
    <row r="31" spans="2:8" x14ac:dyDescent="0.2">
      <c r="B31" s="207">
        <f>Amortization!B6</f>
        <v>1</v>
      </c>
      <c r="C31" s="12">
        <f>IF(B31&lt;=$D$10,0,Amortization!L6)</f>
        <v>0</v>
      </c>
    </row>
    <row r="32" spans="2:8" x14ac:dyDescent="0.2">
      <c r="B32" s="207">
        <f>Amortization!B7</f>
        <v>2</v>
      </c>
      <c r="C32" s="12">
        <f>IF(B32&lt;=$D$10,0,Amortization!L7)</f>
        <v>0</v>
      </c>
    </row>
    <row r="33" spans="2:3" x14ac:dyDescent="0.2">
      <c r="B33" s="207">
        <f>Amortization!B8</f>
        <v>3</v>
      </c>
      <c r="C33" s="12">
        <f>IF(B33&lt;=$D$10,0,Amortization!L8)</f>
        <v>0</v>
      </c>
    </row>
    <row r="34" spans="2:3" x14ac:dyDescent="0.2">
      <c r="B34" s="207">
        <f>Amortization!B9</f>
        <v>4</v>
      </c>
      <c r="C34" s="12">
        <f>IF(B34&lt;=$D$10,0,Amortization!L9)</f>
        <v>0</v>
      </c>
    </row>
    <row r="35" spans="2:3" x14ac:dyDescent="0.2">
      <c r="B35" s="207">
        <f>Amortization!B10</f>
        <v>5</v>
      </c>
      <c r="C35" s="12">
        <f>IF(B35&lt;=$D$10,0,Amortization!L10)</f>
        <v>0</v>
      </c>
    </row>
    <row r="36" spans="2:3" x14ac:dyDescent="0.2">
      <c r="B36" s="207">
        <f>Amortization!B11</f>
        <v>6</v>
      </c>
      <c r="C36" s="12">
        <f>IF(B36&lt;=$D$10,0,Amortization!L11)</f>
        <v>0</v>
      </c>
    </row>
    <row r="37" spans="2:3" ht="14.25" customHeight="1" x14ac:dyDescent="0.2">
      <c r="B37" s="207">
        <f>Amortization!B12</f>
        <v>7</v>
      </c>
      <c r="C37" s="12">
        <f>IF(B37&lt;=$D$10,0,Amortization!L12)</f>
        <v>0</v>
      </c>
    </row>
    <row r="38" spans="2:3" ht="14.25" customHeight="1" x14ac:dyDescent="0.2">
      <c r="B38" s="207">
        <f>Amortization!B13</f>
        <v>8</v>
      </c>
      <c r="C38" s="12">
        <f>IF(B38&lt;=$D$10,0,Amortization!L13)</f>
        <v>0</v>
      </c>
    </row>
    <row r="39" spans="2:3" ht="14.25" customHeight="1" x14ac:dyDescent="0.2">
      <c r="B39" s="207">
        <f>Amortization!B14</f>
        <v>9</v>
      </c>
      <c r="C39" s="12">
        <f>IF(B39&lt;=$D$10,0,Amortization!L14)</f>
        <v>0</v>
      </c>
    </row>
    <row r="40" spans="2:3" ht="14.25" customHeight="1" x14ac:dyDescent="0.2">
      <c r="B40" s="207">
        <f>Amortization!B15</f>
        <v>10</v>
      </c>
      <c r="C40" s="12">
        <f>IF(B40&lt;=$D$10,0,Amortization!L15)</f>
        <v>0</v>
      </c>
    </row>
    <row r="41" spans="2:3" ht="14.25" customHeight="1" x14ac:dyDescent="0.2">
      <c r="B41" s="207">
        <f>Amortization!B16</f>
        <v>11</v>
      </c>
      <c r="C41" s="12">
        <f>IF(B41&lt;=$D$10,0,Amortization!L16)</f>
        <v>0</v>
      </c>
    </row>
    <row r="42" spans="2:3" ht="14.25" customHeight="1" x14ac:dyDescent="0.2">
      <c r="B42" s="207">
        <f>Amortization!B17</f>
        <v>12</v>
      </c>
      <c r="C42" s="12">
        <f>IF(B42&lt;=$D$10,0,Amortization!L17)</f>
        <v>0</v>
      </c>
    </row>
    <row r="43" spans="2:3" ht="14.25" customHeight="1" x14ac:dyDescent="0.2">
      <c r="B43" s="207">
        <f>Amortization!B18</f>
        <v>13</v>
      </c>
      <c r="C43" s="12">
        <f>IF(B43&lt;=$D$10,0,Amortization!L18)</f>
        <v>0</v>
      </c>
    </row>
    <row r="44" spans="2:3" ht="14.25" customHeight="1" x14ac:dyDescent="0.2">
      <c r="B44" s="207">
        <f>Amortization!B19</f>
        <v>14</v>
      </c>
      <c r="C44" s="12">
        <f>IF(B44&lt;=$D$10,0,Amortization!L19)</f>
        <v>0</v>
      </c>
    </row>
    <row r="45" spans="2:3" ht="14.25" customHeight="1" x14ac:dyDescent="0.2">
      <c r="B45" s="207">
        <f>Amortization!B20</f>
        <v>15</v>
      </c>
      <c r="C45" s="12">
        <f>IF(B45&lt;=$D$10,0,Amortization!L20)</f>
        <v>0</v>
      </c>
    </row>
    <row r="46" spans="2:3" ht="14.25" customHeight="1" x14ac:dyDescent="0.2">
      <c r="B46" s="207">
        <f>Amortization!B21</f>
        <v>16</v>
      </c>
      <c r="C46" s="12">
        <f>IF(B46&lt;=$D$10,0,Amortization!L21)</f>
        <v>0</v>
      </c>
    </row>
    <row r="47" spans="2:3" ht="14.25" customHeight="1" x14ac:dyDescent="0.2">
      <c r="B47" s="207">
        <f>Amortization!B22</f>
        <v>17</v>
      </c>
      <c r="C47" s="12">
        <f>IF(B47&lt;=$D$10,0,Amortization!L22)</f>
        <v>0</v>
      </c>
    </row>
    <row r="48" spans="2:3" ht="14.25" customHeight="1" x14ac:dyDescent="0.2">
      <c r="B48" s="207">
        <f>Amortization!B23</f>
        <v>18</v>
      </c>
      <c r="C48" s="12">
        <f>IF(B48&lt;=$D$10,0,Amortization!L23)</f>
        <v>0</v>
      </c>
    </row>
    <row r="49" spans="2:3" ht="14.25" customHeight="1" x14ac:dyDescent="0.2">
      <c r="B49" s="207">
        <f>Amortization!B24</f>
        <v>19</v>
      </c>
      <c r="C49" s="12">
        <f>IF(B49&lt;=$D$10,0,Amortization!L24)</f>
        <v>0</v>
      </c>
    </row>
    <row r="50" spans="2:3" ht="14.25" customHeight="1" x14ac:dyDescent="0.2">
      <c r="B50" s="207">
        <f>Amortization!B25</f>
        <v>20</v>
      </c>
      <c r="C50" s="12">
        <f>IF(B50&lt;=$D$10,0,Amortization!L25)</f>
        <v>0</v>
      </c>
    </row>
    <row r="51" spans="2:3" ht="14.25" customHeight="1" x14ac:dyDescent="0.2">
      <c r="B51" s="207">
        <f>Amortization!B26</f>
        <v>21</v>
      </c>
      <c r="C51" s="12">
        <f>IF(B51&lt;=$D$10,0,Amortization!L26)</f>
        <v>0</v>
      </c>
    </row>
    <row r="52" spans="2:3" ht="14.25" customHeight="1" x14ac:dyDescent="0.2">
      <c r="B52" s="207">
        <f>Amortization!B27</f>
        <v>22</v>
      </c>
      <c r="C52" s="12">
        <f>IF(B52&lt;=$D$10,0,Amortization!L27)</f>
        <v>0</v>
      </c>
    </row>
    <row r="53" spans="2:3" ht="14.25" customHeight="1" x14ac:dyDescent="0.2">
      <c r="B53" s="207">
        <f>Amortization!B28</f>
        <v>23</v>
      </c>
      <c r="C53" s="12">
        <f>IF(B53&lt;=$D$10,0,Amortization!L28)</f>
        <v>0</v>
      </c>
    </row>
    <row r="54" spans="2:3" ht="14.25" customHeight="1" x14ac:dyDescent="0.2">
      <c r="B54" s="207">
        <f>Amortization!B29</f>
        <v>24</v>
      </c>
      <c r="C54" s="12">
        <f>IF(B54&lt;=$D$10,0,Amortization!L29)</f>
        <v>0</v>
      </c>
    </row>
    <row r="55" spans="2:3" ht="14.25" customHeight="1" x14ac:dyDescent="0.2">
      <c r="B55" s="207">
        <f>Amortization!B30</f>
        <v>25</v>
      </c>
      <c r="C55" s="12">
        <f>IF(B55&lt;=$D$10,0,Amortization!L30)</f>
        <v>0</v>
      </c>
    </row>
    <row r="56" spans="2:3" ht="14.25" customHeight="1" x14ac:dyDescent="0.2">
      <c r="B56" s="207">
        <f>Amortization!B31</f>
        <v>26</v>
      </c>
      <c r="C56" s="12">
        <f>IF(B56&lt;=$D$10,0,Amortization!L31)</f>
        <v>0</v>
      </c>
    </row>
    <row r="57" spans="2:3" ht="14.25" customHeight="1" x14ac:dyDescent="0.2">
      <c r="B57" s="207">
        <f>Amortization!B32</f>
        <v>27</v>
      </c>
      <c r="C57" s="12">
        <f>IF(B57&lt;=$D$10,0,Amortization!L32)</f>
        <v>0</v>
      </c>
    </row>
    <row r="58" spans="2:3" ht="14.25" customHeight="1" x14ac:dyDescent="0.2">
      <c r="B58" s="207">
        <f>Amortization!B33</f>
        <v>28</v>
      </c>
      <c r="C58" s="12">
        <f>IF(B58&lt;=$D$10,0,Amortization!L33)</f>
        <v>0</v>
      </c>
    </row>
    <row r="59" spans="2:3" ht="14.25" customHeight="1" x14ac:dyDescent="0.2">
      <c r="B59" s="207">
        <f>Amortization!B34</f>
        <v>29</v>
      </c>
      <c r="C59" s="12">
        <f>IF(B59&lt;=$D$10,0,Amortization!L34)</f>
        <v>0</v>
      </c>
    </row>
    <row r="60" spans="2:3" ht="14.25" customHeight="1" x14ac:dyDescent="0.2">
      <c r="B60" s="207">
        <f>Amortization!B35</f>
        <v>30</v>
      </c>
      <c r="C60" s="12">
        <f>IF(B60&lt;=$D$10,0,Amortization!L35)</f>
        <v>0</v>
      </c>
    </row>
    <row r="61" spans="2:3" ht="14.25" customHeight="1" x14ac:dyDescent="0.2">
      <c r="B61" s="207">
        <f>Amortization!B36</f>
        <v>31</v>
      </c>
      <c r="C61" s="12">
        <f>IF(B61&lt;=$D$10,0,Amortization!L36)</f>
        <v>0</v>
      </c>
    </row>
    <row r="62" spans="2:3" ht="14.25" customHeight="1" x14ac:dyDescent="0.2">
      <c r="B62" s="207">
        <f>Amortization!B37</f>
        <v>32</v>
      </c>
      <c r="C62" s="12">
        <f>IF(B62&lt;=$D$10,0,Amortization!L37)</f>
        <v>0</v>
      </c>
    </row>
    <row r="63" spans="2:3" ht="14.25" customHeight="1" x14ac:dyDescent="0.2">
      <c r="B63" s="207">
        <f>Amortization!B38</f>
        <v>33</v>
      </c>
      <c r="C63" s="12">
        <f>IF(B63&lt;=$D$10,0,Amortization!L38)</f>
        <v>0</v>
      </c>
    </row>
    <row r="64" spans="2:3" ht="14.25" customHeight="1" x14ac:dyDescent="0.2">
      <c r="B64" s="207">
        <f>Amortization!B39</f>
        <v>34</v>
      </c>
      <c r="C64" s="12">
        <f>IF(B64&lt;=$D$10,0,Amortization!L39)</f>
        <v>0</v>
      </c>
    </row>
    <row r="65" spans="2:3" ht="14.25" customHeight="1" x14ac:dyDescent="0.2">
      <c r="B65" s="207">
        <f>Amortization!B40</f>
        <v>35</v>
      </c>
      <c r="C65" s="12">
        <f>IF(B65&lt;=$D$10,0,Amortization!L40)</f>
        <v>0</v>
      </c>
    </row>
    <row r="66" spans="2:3" ht="14.25" customHeight="1" x14ac:dyDescent="0.2">
      <c r="B66" s="207">
        <f>Amortization!B41</f>
        <v>36</v>
      </c>
      <c r="C66" s="12">
        <f>IF(B66&lt;=$D$10,0,Amortization!L41)</f>
        <v>0</v>
      </c>
    </row>
    <row r="67" spans="2:3" ht="14.25" customHeight="1" x14ac:dyDescent="0.2">
      <c r="B67" s="207">
        <f>Amortization!B42</f>
        <v>37</v>
      </c>
      <c r="C67" s="12">
        <f>IF(B67&lt;=$D$10,0,Amortization!L42)</f>
        <v>0</v>
      </c>
    </row>
    <row r="68" spans="2:3" ht="14.25" customHeight="1" x14ac:dyDescent="0.2">
      <c r="B68" s="207">
        <f>Amortization!B43</f>
        <v>38</v>
      </c>
      <c r="C68" s="12">
        <f>IF(B68&lt;=$D$10,0,Amortization!L43)</f>
        <v>0</v>
      </c>
    </row>
    <row r="69" spans="2:3" ht="14.25" customHeight="1" x14ac:dyDescent="0.2">
      <c r="B69" s="207">
        <f>Amortization!B44</f>
        <v>39</v>
      </c>
      <c r="C69" s="12">
        <f>IF(B69&lt;=$D$10,0,Amortization!L44)</f>
        <v>0</v>
      </c>
    </row>
    <row r="70" spans="2:3" ht="14.25" customHeight="1" x14ac:dyDescent="0.2">
      <c r="B70" s="207">
        <f>Amortization!B45</f>
        <v>40</v>
      </c>
      <c r="C70" s="12">
        <f>IF(B70&lt;=$D$10,0,Amortization!L45)</f>
        <v>0</v>
      </c>
    </row>
    <row r="71" spans="2:3" ht="14.25" customHeight="1" x14ac:dyDescent="0.2">
      <c r="B71" s="207">
        <f>Amortization!B46</f>
        <v>41</v>
      </c>
      <c r="C71" s="12">
        <f>IF(B71&lt;=$D$10,0,Amortization!L46)</f>
        <v>0</v>
      </c>
    </row>
    <row r="72" spans="2:3" ht="14.25" customHeight="1" x14ac:dyDescent="0.2">
      <c r="B72" s="207">
        <f>Amortization!B47</f>
        <v>42</v>
      </c>
      <c r="C72" s="12">
        <f>IF(B72&lt;=$D$10,0,Amortization!L47)</f>
        <v>0</v>
      </c>
    </row>
    <row r="73" spans="2:3" ht="14.25" customHeight="1" x14ac:dyDescent="0.2">
      <c r="B73" s="207">
        <f>Amortization!B48</f>
        <v>43</v>
      </c>
      <c r="C73" s="12">
        <f>IF(B73&lt;=$D$10,0,Amortization!L48)</f>
        <v>0</v>
      </c>
    </row>
    <row r="74" spans="2:3" ht="14.25" customHeight="1" x14ac:dyDescent="0.2">
      <c r="B74" s="207">
        <f>Amortization!B49</f>
        <v>44</v>
      </c>
      <c r="C74" s="12">
        <f>IF(B74&lt;=$D$10,0,Amortization!L49)</f>
        <v>0</v>
      </c>
    </row>
    <row r="75" spans="2:3" ht="14.25" customHeight="1" x14ac:dyDescent="0.2">
      <c r="B75" s="207">
        <f>Amortization!B50</f>
        <v>45</v>
      </c>
      <c r="C75" s="12">
        <f>IF(B75&lt;=$D$10,0,Amortization!L50)</f>
        <v>0</v>
      </c>
    </row>
    <row r="76" spans="2:3" ht="14.25" customHeight="1" x14ac:dyDescent="0.2">
      <c r="B76" s="207">
        <f>Amortization!B51</f>
        <v>46</v>
      </c>
      <c r="C76" s="12">
        <f>IF(B76&lt;=$D$10,0,Amortization!L51)</f>
        <v>0</v>
      </c>
    </row>
    <row r="77" spans="2:3" ht="14.25" customHeight="1" x14ac:dyDescent="0.2">
      <c r="B77" s="207">
        <f>Amortization!B52</f>
        <v>47</v>
      </c>
      <c r="C77" s="12">
        <f>IF(B77&lt;=$D$10,0,Amortization!L52)</f>
        <v>0</v>
      </c>
    </row>
    <row r="78" spans="2:3" ht="14.25" customHeight="1" x14ac:dyDescent="0.2">
      <c r="B78" s="207">
        <f>Amortization!B53</f>
        <v>48</v>
      </c>
      <c r="C78" s="12">
        <f>IF(B78&lt;=$D$10,0,Amortization!L53)</f>
        <v>0</v>
      </c>
    </row>
    <row r="79" spans="2:3" ht="14.25" customHeight="1" x14ac:dyDescent="0.2">
      <c r="B79" s="207">
        <f>Amortization!B54</f>
        <v>49</v>
      </c>
      <c r="C79" s="12">
        <f>IF(B79&lt;=$D$10,0,Amortization!L54)</f>
        <v>0</v>
      </c>
    </row>
    <row r="80" spans="2:3" ht="14.25" customHeight="1" x14ac:dyDescent="0.2">
      <c r="B80" s="207">
        <f>Amortization!B55</f>
        <v>50</v>
      </c>
      <c r="C80" s="12">
        <f>IF(B80&lt;=$D$10,0,Amortization!L55)</f>
        <v>0</v>
      </c>
    </row>
    <row r="81" spans="2:3" ht="14.25" customHeight="1" x14ac:dyDescent="0.2">
      <c r="B81" s="207">
        <f>Amortization!B56</f>
        <v>51</v>
      </c>
      <c r="C81" s="12">
        <f>IF(B81&lt;=$D$10,0,Amortization!L56)</f>
        <v>0</v>
      </c>
    </row>
    <row r="82" spans="2:3" ht="14.25" customHeight="1" x14ac:dyDescent="0.2">
      <c r="B82" s="207">
        <f>Amortization!B57</f>
        <v>52</v>
      </c>
      <c r="C82" s="12">
        <f>IF(B82&lt;=$D$10,0,Amortization!L57)</f>
        <v>0</v>
      </c>
    </row>
    <row r="83" spans="2:3" ht="14.25" customHeight="1" x14ac:dyDescent="0.2">
      <c r="B83" s="207">
        <f>Amortization!B58</f>
        <v>53</v>
      </c>
      <c r="C83" s="12">
        <f>IF(B83&lt;=$D$10,0,Amortization!L58)</f>
        <v>0</v>
      </c>
    </row>
    <row r="84" spans="2:3" ht="14.25" customHeight="1" x14ac:dyDescent="0.2">
      <c r="B84" s="207">
        <f>Amortization!B59</f>
        <v>54</v>
      </c>
      <c r="C84" s="12">
        <f>IF(B84&lt;=$D$10,0,Amortization!L59)</f>
        <v>0</v>
      </c>
    </row>
    <row r="85" spans="2:3" ht="14.25" customHeight="1" x14ac:dyDescent="0.2">
      <c r="B85" s="207">
        <f>Amortization!B60</f>
        <v>55</v>
      </c>
      <c r="C85" s="12">
        <f>IF(B85&lt;=$D$10,0,Amortization!L60)</f>
        <v>0</v>
      </c>
    </row>
    <row r="86" spans="2:3" ht="14.25" customHeight="1" x14ac:dyDescent="0.2">
      <c r="B86" s="207">
        <f>Amortization!B61</f>
        <v>56</v>
      </c>
      <c r="C86" s="12">
        <f>IF(B86&lt;=$D$10,0,Amortization!L61)</f>
        <v>0</v>
      </c>
    </row>
    <row r="87" spans="2:3" ht="14.25" customHeight="1" x14ac:dyDescent="0.2">
      <c r="B87" s="207">
        <f>Amortization!B62</f>
        <v>57</v>
      </c>
      <c r="C87" s="12">
        <f>IF(B87&lt;=$D$10,0,Amortization!L62)</f>
        <v>0</v>
      </c>
    </row>
    <row r="88" spans="2:3" ht="14.25" customHeight="1" x14ac:dyDescent="0.2">
      <c r="B88" s="207">
        <f>Amortization!B63</f>
        <v>58</v>
      </c>
      <c r="C88" s="12">
        <f>IF(B88&lt;=$D$10,0,Amortization!L63)</f>
        <v>0</v>
      </c>
    </row>
    <row r="89" spans="2:3" ht="14.25" customHeight="1" x14ac:dyDescent="0.2">
      <c r="B89" s="207">
        <f>Amortization!B64</f>
        <v>59</v>
      </c>
      <c r="C89" s="12">
        <f>IF(B89&lt;=$D$10,0,Amortization!L64)</f>
        <v>0</v>
      </c>
    </row>
    <row r="90" spans="2:3" ht="14.25" customHeight="1" x14ac:dyDescent="0.2">
      <c r="B90" s="207">
        <f>Amortization!B65</f>
        <v>60</v>
      </c>
      <c r="C90" s="12">
        <f>IF(B90&lt;=$D$10,0,Amortization!L65)</f>
        <v>0</v>
      </c>
    </row>
    <row r="91" spans="2:3" ht="14.25" customHeight="1" x14ac:dyDescent="0.2">
      <c r="B91" s="207">
        <f>Amortization!B66</f>
        <v>61</v>
      </c>
      <c r="C91" s="12">
        <f>IF(B91&lt;=$D$10,0,Amortization!L66)</f>
        <v>0</v>
      </c>
    </row>
    <row r="92" spans="2:3" ht="14.25" customHeight="1" x14ac:dyDescent="0.2">
      <c r="B92" s="207">
        <f>Amortization!B67</f>
        <v>62</v>
      </c>
      <c r="C92" s="12">
        <f>IF(B92&lt;=$D$10,0,Amortization!L67)</f>
        <v>0</v>
      </c>
    </row>
    <row r="93" spans="2:3" ht="14.25" customHeight="1" x14ac:dyDescent="0.2">
      <c r="B93" s="207">
        <f>Amortization!B68</f>
        <v>63</v>
      </c>
      <c r="C93" s="12">
        <f>IF(B93&lt;=$D$10,0,Amortization!L68)</f>
        <v>0</v>
      </c>
    </row>
    <row r="94" spans="2:3" ht="14.25" customHeight="1" x14ac:dyDescent="0.2">
      <c r="B94" s="207">
        <f>Amortization!B69</f>
        <v>64</v>
      </c>
      <c r="C94" s="12">
        <f>IF(B94&lt;=$D$10,0,Amortization!L69)</f>
        <v>0</v>
      </c>
    </row>
    <row r="95" spans="2:3" ht="14.25" customHeight="1" x14ac:dyDescent="0.2">
      <c r="B95" s="207">
        <f>Amortization!B70</f>
        <v>65</v>
      </c>
      <c r="C95" s="12">
        <f>IF(B95&lt;=$D$10,0,Amortization!L70)</f>
        <v>0</v>
      </c>
    </row>
    <row r="96" spans="2:3" ht="14.25" customHeight="1" x14ac:dyDescent="0.2">
      <c r="B96" s="207">
        <f>Amortization!B71</f>
        <v>66</v>
      </c>
      <c r="C96" s="12">
        <f>IF(B96&lt;=$D$10,0,Amortization!L71)</f>
        <v>0</v>
      </c>
    </row>
    <row r="97" spans="2:3" ht="14.25" customHeight="1" x14ac:dyDescent="0.2">
      <c r="B97" s="207">
        <f>Amortization!B72</f>
        <v>67</v>
      </c>
      <c r="C97" s="12">
        <f>IF(B97&lt;=$D$10,0,Amortization!L72)</f>
        <v>0</v>
      </c>
    </row>
    <row r="98" spans="2:3" ht="14.25" customHeight="1" x14ac:dyDescent="0.2">
      <c r="B98" s="207">
        <f>Amortization!B73</f>
        <v>68</v>
      </c>
      <c r="C98" s="12">
        <f>IF(B98&lt;=$D$10,0,Amortization!L73)</f>
        <v>0</v>
      </c>
    </row>
    <row r="99" spans="2:3" ht="14.25" customHeight="1" x14ac:dyDescent="0.2">
      <c r="B99" s="207">
        <f>Amortization!B74</f>
        <v>69</v>
      </c>
      <c r="C99" s="12">
        <f>IF(B99&lt;=$D$10,0,Amortization!L74)</f>
        <v>0</v>
      </c>
    </row>
    <row r="100" spans="2:3" ht="14.25" customHeight="1" x14ac:dyDescent="0.2">
      <c r="B100" s="207">
        <f>Amortization!B75</f>
        <v>70</v>
      </c>
      <c r="C100" s="12">
        <f>IF(B100&lt;=$D$10,0,Amortization!L75)</f>
        <v>0</v>
      </c>
    </row>
    <row r="101" spans="2:3" ht="14.25" customHeight="1" x14ac:dyDescent="0.2">
      <c r="B101" s="207">
        <f>Amortization!B76</f>
        <v>71</v>
      </c>
      <c r="C101" s="12">
        <f>IF(B101&lt;=$D$10,0,Amortization!L76)</f>
        <v>0</v>
      </c>
    </row>
    <row r="102" spans="2:3" ht="14.25" customHeight="1" x14ac:dyDescent="0.2">
      <c r="B102" s="207">
        <f>Amortization!B77</f>
        <v>72</v>
      </c>
      <c r="C102" s="12">
        <f>IF(B102&lt;=$D$10,0,Amortization!L77)</f>
        <v>0</v>
      </c>
    </row>
    <row r="103" spans="2:3" ht="14.25" customHeight="1" x14ac:dyDescent="0.2">
      <c r="B103" s="207">
        <f>Amortization!B78</f>
        <v>73</v>
      </c>
      <c r="C103" s="12">
        <f>IF(B103&lt;=$D$10,0,Amortization!L78)</f>
        <v>0</v>
      </c>
    </row>
    <row r="104" spans="2:3" ht="14.25" customHeight="1" x14ac:dyDescent="0.2">
      <c r="B104" s="207">
        <f>Amortization!B79</f>
        <v>74</v>
      </c>
      <c r="C104" s="12">
        <f>IF(B104&lt;=$D$10,0,Amortization!L79)</f>
        <v>0</v>
      </c>
    </row>
    <row r="105" spans="2:3" ht="14.25" customHeight="1" x14ac:dyDescent="0.2">
      <c r="B105" s="207">
        <f>Amortization!B80</f>
        <v>75</v>
      </c>
      <c r="C105" s="12">
        <f>IF(B105&lt;=$D$10,0,Amortization!L80)</f>
        <v>0</v>
      </c>
    </row>
    <row r="106" spans="2:3" ht="14.25" customHeight="1" x14ac:dyDescent="0.2">
      <c r="B106" s="207">
        <f>Amortization!B81</f>
        <v>76</v>
      </c>
      <c r="C106" s="12">
        <f>IF(B106&lt;=$D$10,0,Amortization!L81)</f>
        <v>0</v>
      </c>
    </row>
    <row r="107" spans="2:3" ht="14.25" customHeight="1" x14ac:dyDescent="0.2">
      <c r="B107" s="207">
        <f>Amortization!B82</f>
        <v>77</v>
      </c>
      <c r="C107" s="12">
        <f>IF(B107&lt;=$D$10,0,Amortization!L82)</f>
        <v>0</v>
      </c>
    </row>
    <row r="108" spans="2:3" ht="14.25" customHeight="1" x14ac:dyDescent="0.2">
      <c r="B108" s="207">
        <f>Amortization!B83</f>
        <v>78</v>
      </c>
      <c r="C108" s="12">
        <f>IF(B108&lt;=$D$10,0,Amortization!L83)</f>
        <v>38571.025053902427</v>
      </c>
    </row>
    <row r="109" spans="2:3" ht="14.25" customHeight="1" x14ac:dyDescent="0.2">
      <c r="B109" s="207">
        <f>Amortization!B84</f>
        <v>79</v>
      </c>
      <c r="C109" s="12">
        <f>IF(B109&lt;=$D$10,0,Amortization!L84)</f>
        <v>38571.025053902427</v>
      </c>
    </row>
    <row r="110" spans="2:3" ht="14.25" customHeight="1" x14ac:dyDescent="0.2">
      <c r="B110" s="207">
        <f>Amortization!B85</f>
        <v>80</v>
      </c>
      <c r="C110" s="12">
        <f>IF(B110&lt;=$D$10,0,Amortization!L85)</f>
        <v>38571.025053902427</v>
      </c>
    </row>
    <row r="111" spans="2:3" ht="14.25" customHeight="1" x14ac:dyDescent="0.2">
      <c r="B111" s="207">
        <f>Amortization!B86</f>
        <v>81</v>
      </c>
      <c r="C111" s="12">
        <f>IF(B111&lt;=$D$10,0,Amortization!L86)</f>
        <v>38571.025053902427</v>
      </c>
    </row>
    <row r="112" spans="2:3" ht="14.25" customHeight="1" x14ac:dyDescent="0.2">
      <c r="B112" s="207">
        <f>Amortization!B87</f>
        <v>82</v>
      </c>
      <c r="C112" s="12">
        <f>IF(B112&lt;=$D$10,0,Amortization!L87)</f>
        <v>38571.025053902427</v>
      </c>
    </row>
    <row r="113" spans="2:3" ht="14.25" customHeight="1" x14ac:dyDescent="0.2">
      <c r="B113" s="207">
        <f>Amortization!B88</f>
        <v>83</v>
      </c>
      <c r="C113" s="12">
        <f>IF(B113&lt;=$D$10,0,Amortization!L88)</f>
        <v>38571.025053902427</v>
      </c>
    </row>
    <row r="114" spans="2:3" ht="14.25" customHeight="1" x14ac:dyDescent="0.2">
      <c r="B114" s="207">
        <f>Amortization!B89</f>
        <v>84</v>
      </c>
      <c r="C114" s="12">
        <f>IF(B114&lt;=$D$10,0,Amortization!L89)</f>
        <v>38571.025053902427</v>
      </c>
    </row>
    <row r="115" spans="2:3" ht="14.25" customHeight="1" x14ac:dyDescent="0.2">
      <c r="B115" s="207">
        <f>Amortization!B90</f>
        <v>85</v>
      </c>
      <c r="C115" s="12">
        <f>IF(B115&lt;=$D$10,0,Amortization!L90)</f>
        <v>38571.025053902427</v>
      </c>
    </row>
    <row r="116" spans="2:3" ht="14.25" customHeight="1" x14ac:dyDescent="0.2">
      <c r="B116" s="207">
        <f>Amortization!B91</f>
        <v>86</v>
      </c>
      <c r="C116" s="12">
        <f>IF(B116&lt;=$D$10,0,Amortization!L91)</f>
        <v>38571.025053902427</v>
      </c>
    </row>
    <row r="117" spans="2:3" ht="14.25" customHeight="1" x14ac:dyDescent="0.2">
      <c r="B117" s="207">
        <f>Amortization!B92</f>
        <v>87</v>
      </c>
      <c r="C117" s="12">
        <f>IF(B117&lt;=$D$10,0,Amortization!L92)</f>
        <v>38571.025053902427</v>
      </c>
    </row>
    <row r="118" spans="2:3" ht="14.25" customHeight="1" x14ac:dyDescent="0.2">
      <c r="B118" s="207">
        <f>Amortization!B93</f>
        <v>88</v>
      </c>
      <c r="C118" s="12">
        <f>IF(B118&lt;=$D$10,0,Amortization!L93)</f>
        <v>38571.025053902427</v>
      </c>
    </row>
    <row r="119" spans="2:3" ht="14.25" customHeight="1" x14ac:dyDescent="0.2">
      <c r="B119" s="207">
        <f>Amortization!B94</f>
        <v>89</v>
      </c>
      <c r="C119" s="12">
        <f>IF(B119&lt;=$D$10,0,Amortization!L94)</f>
        <v>38571.025053902427</v>
      </c>
    </row>
    <row r="120" spans="2:3" ht="14.25" customHeight="1" x14ac:dyDescent="0.2">
      <c r="B120" s="207">
        <f>Amortization!B95</f>
        <v>90</v>
      </c>
      <c r="C120" s="12">
        <f>IF(B120&lt;=$D$10,0,Amortization!L95)</f>
        <v>38571.025053902427</v>
      </c>
    </row>
    <row r="121" spans="2:3" ht="14.25" customHeight="1" x14ac:dyDescent="0.2">
      <c r="B121" s="207">
        <f>Amortization!B96</f>
        <v>91</v>
      </c>
      <c r="C121" s="12">
        <f>IF(B121&lt;=$D$10,0,Amortization!L96)</f>
        <v>38571.025053902427</v>
      </c>
    </row>
    <row r="122" spans="2:3" ht="14.25" customHeight="1" x14ac:dyDescent="0.2">
      <c r="B122" s="207">
        <f>Amortization!B97</f>
        <v>92</v>
      </c>
      <c r="C122" s="12">
        <f>IF(B122&lt;=$D$10,0,Amortization!L97)</f>
        <v>38571.025053902427</v>
      </c>
    </row>
    <row r="123" spans="2:3" ht="14.25" customHeight="1" x14ac:dyDescent="0.2">
      <c r="B123" s="207">
        <f>Amortization!B98</f>
        <v>93</v>
      </c>
      <c r="C123" s="12">
        <f>IF(B123&lt;=$D$10,0,Amortization!L98)</f>
        <v>38571.025053902427</v>
      </c>
    </row>
    <row r="124" spans="2:3" ht="14.25" customHeight="1" x14ac:dyDescent="0.2">
      <c r="B124" s="207">
        <f>Amortization!B99</f>
        <v>94</v>
      </c>
      <c r="C124" s="12">
        <f>IF(B124&lt;=$D$10,0,Amortization!L99)</f>
        <v>38571.025053902427</v>
      </c>
    </row>
    <row r="125" spans="2:3" ht="14.25" customHeight="1" x14ac:dyDescent="0.2">
      <c r="B125" s="207">
        <f>Amortization!B100</f>
        <v>95</v>
      </c>
      <c r="C125" s="12">
        <f>IF(B125&lt;=$D$10,0,Amortization!L100)</f>
        <v>38571.025053902427</v>
      </c>
    </row>
    <row r="126" spans="2:3" ht="14.25" customHeight="1" x14ac:dyDescent="0.2">
      <c r="B126" s="207">
        <f>Amortization!B101</f>
        <v>96</v>
      </c>
      <c r="C126" s="12">
        <f>IF(B126&lt;=$D$10,0,Amortization!L101)</f>
        <v>38571.025053902427</v>
      </c>
    </row>
    <row r="127" spans="2:3" ht="14.25" customHeight="1" x14ac:dyDescent="0.2">
      <c r="B127" s="207">
        <f>Amortization!B102</f>
        <v>97</v>
      </c>
      <c r="C127" s="12">
        <f>IF(B127&lt;=$D$10,0,Amortization!L102)</f>
        <v>38571.025053902427</v>
      </c>
    </row>
    <row r="128" spans="2:3" ht="14.25" customHeight="1" x14ac:dyDescent="0.2">
      <c r="B128" s="207">
        <f>Amortization!B103</f>
        <v>98</v>
      </c>
      <c r="C128" s="12">
        <f>IF(B128&lt;=$D$10,0,Amortization!L103)</f>
        <v>38571.025053902427</v>
      </c>
    </row>
    <row r="129" spans="2:3" ht="14.25" customHeight="1" x14ac:dyDescent="0.2">
      <c r="B129" s="207">
        <f>Amortization!B104</f>
        <v>99</v>
      </c>
      <c r="C129" s="12">
        <f>IF(B129&lt;=$D$10,0,Amortization!L104)</f>
        <v>38571.025053902427</v>
      </c>
    </row>
    <row r="130" spans="2:3" ht="14.25" customHeight="1" x14ac:dyDescent="0.2">
      <c r="B130" s="207">
        <f>Amortization!B105</f>
        <v>100</v>
      </c>
      <c r="C130" s="12">
        <f>IF(B130&lt;=$D$10,0,Amortization!L105)</f>
        <v>38571.025053902427</v>
      </c>
    </row>
    <row r="131" spans="2:3" ht="14.25" customHeight="1" x14ac:dyDescent="0.2">
      <c r="B131" s="207">
        <f>Amortization!B106</f>
        <v>101</v>
      </c>
      <c r="C131" s="12">
        <f>IF(B131&lt;=$D$10,0,Amortization!L106)</f>
        <v>38571.025053902427</v>
      </c>
    </row>
    <row r="132" spans="2:3" ht="14.25" customHeight="1" x14ac:dyDescent="0.2">
      <c r="B132" s="207">
        <f>Amortization!B107</f>
        <v>102</v>
      </c>
      <c r="C132" s="12">
        <f>IF(B132&lt;=$D$10,0,Amortization!L107)</f>
        <v>38571.025053902427</v>
      </c>
    </row>
    <row r="133" spans="2:3" ht="14.25" customHeight="1" x14ac:dyDescent="0.2">
      <c r="B133" s="207">
        <f>Amortization!B108</f>
        <v>103</v>
      </c>
      <c r="C133" s="12">
        <f>IF(B133&lt;=$D$10,0,Amortization!L108)</f>
        <v>38571.025053902427</v>
      </c>
    </row>
    <row r="134" spans="2:3" ht="14.25" customHeight="1" x14ac:dyDescent="0.2">
      <c r="B134" s="207">
        <f>Amortization!B109</f>
        <v>104</v>
      </c>
      <c r="C134" s="12">
        <f>IF(B134&lt;=$D$10,0,Amortization!L109)</f>
        <v>38571.025053902427</v>
      </c>
    </row>
    <row r="135" spans="2:3" ht="14.25" customHeight="1" x14ac:dyDescent="0.2">
      <c r="B135" s="207">
        <f>Amortization!B110</f>
        <v>105</v>
      </c>
      <c r="C135" s="12">
        <f>IF(B135&lt;=$D$10,0,Amortization!L110)</f>
        <v>38571.025053902427</v>
      </c>
    </row>
    <row r="136" spans="2:3" ht="14.25" customHeight="1" x14ac:dyDescent="0.2">
      <c r="B136" s="207">
        <f>Amortization!B111</f>
        <v>106</v>
      </c>
      <c r="C136" s="12">
        <f>IF(B136&lt;=$D$10,0,Amortization!L111)</f>
        <v>38571.025053902427</v>
      </c>
    </row>
    <row r="137" spans="2:3" ht="14.25" customHeight="1" x14ac:dyDescent="0.2">
      <c r="B137" s="207">
        <f>Amortization!B112</f>
        <v>107</v>
      </c>
      <c r="C137" s="12">
        <f>IF(B137&lt;=$D$10,0,Amortization!L112)</f>
        <v>38571.025053902427</v>
      </c>
    </row>
    <row r="138" spans="2:3" ht="14.25" customHeight="1" x14ac:dyDescent="0.2">
      <c r="B138" s="207">
        <f>Amortization!B113</f>
        <v>108</v>
      </c>
      <c r="C138" s="12">
        <f>IF(B138&lt;=$D$10,0,Amortization!L113)</f>
        <v>38571.025053902427</v>
      </c>
    </row>
    <row r="139" spans="2:3" ht="14.25" customHeight="1" x14ac:dyDescent="0.2">
      <c r="B139" s="207">
        <f>Amortization!B114</f>
        <v>109</v>
      </c>
      <c r="C139" s="12">
        <f>IF(B139&lt;=$D$10,0,Amortization!L114)</f>
        <v>38571.025053902427</v>
      </c>
    </row>
    <row r="140" spans="2:3" ht="14.25" customHeight="1" x14ac:dyDescent="0.2">
      <c r="B140" s="207">
        <f>Amortization!B115</f>
        <v>110</v>
      </c>
      <c r="C140" s="12">
        <f>IF(B140&lt;=$D$10,0,Amortization!L115)</f>
        <v>38571.025053902427</v>
      </c>
    </row>
    <row r="141" spans="2:3" ht="14.25" customHeight="1" x14ac:dyDescent="0.2">
      <c r="B141" s="207">
        <f>Amortization!B116</f>
        <v>111</v>
      </c>
      <c r="C141" s="12">
        <f>IF(B141&lt;=$D$10,0,Amortization!L116)</f>
        <v>38571.025053902427</v>
      </c>
    </row>
    <row r="142" spans="2:3" ht="14.25" customHeight="1" x14ac:dyDescent="0.2">
      <c r="B142" s="207">
        <f>Amortization!B117</f>
        <v>112</v>
      </c>
      <c r="C142" s="12">
        <f>IF(B142&lt;=$D$10,0,Amortization!L117)</f>
        <v>38571.025053902427</v>
      </c>
    </row>
    <row r="143" spans="2:3" ht="14.25" customHeight="1" x14ac:dyDescent="0.2">
      <c r="B143" s="207">
        <f>Amortization!B118</f>
        <v>113</v>
      </c>
      <c r="C143" s="12">
        <f>IF(B143&lt;=$D$10,0,Amortization!L118)</f>
        <v>38571.025053902427</v>
      </c>
    </row>
    <row r="144" spans="2:3" ht="14.25" customHeight="1" x14ac:dyDescent="0.2">
      <c r="B144" s="207">
        <f>Amortization!B119</f>
        <v>114</v>
      </c>
      <c r="C144" s="12">
        <f>IF(B144&lt;=$D$10,0,Amortization!L119)</f>
        <v>38571.025053902427</v>
      </c>
    </row>
    <row r="145" spans="2:3" ht="14.25" customHeight="1" x14ac:dyDescent="0.2">
      <c r="B145" s="207">
        <f>Amortization!B120</f>
        <v>115</v>
      </c>
      <c r="C145" s="12">
        <f>IF(B145&lt;=$D$10,0,Amortization!L120)</f>
        <v>38571.025053902427</v>
      </c>
    </row>
    <row r="146" spans="2:3" ht="14.25" customHeight="1" x14ac:dyDescent="0.2">
      <c r="B146" s="207">
        <f>Amortization!B121</f>
        <v>116</v>
      </c>
      <c r="C146" s="12">
        <f>IF(B146&lt;=$D$10,0,Amortization!L121)</f>
        <v>38571.025053902427</v>
      </c>
    </row>
    <row r="147" spans="2:3" ht="14.25" customHeight="1" x14ac:dyDescent="0.2">
      <c r="B147" s="207">
        <f>Amortization!B122</f>
        <v>117</v>
      </c>
      <c r="C147" s="12">
        <f>IF(B147&lt;=$D$10,0,Amortization!L122)</f>
        <v>38571.025053902427</v>
      </c>
    </row>
    <row r="148" spans="2:3" ht="14.25" customHeight="1" x14ac:dyDescent="0.2">
      <c r="B148" s="207">
        <f>Amortization!B123</f>
        <v>118</v>
      </c>
      <c r="C148" s="12">
        <f>IF(B148&lt;=$D$10,0,Amortization!L123)</f>
        <v>38571.025053902427</v>
      </c>
    </row>
    <row r="149" spans="2:3" ht="14.25" customHeight="1" x14ac:dyDescent="0.2">
      <c r="B149" s="207">
        <f>Amortization!B124</f>
        <v>119</v>
      </c>
      <c r="C149" s="12">
        <f>IF(B149&lt;=$D$10,0,Amortization!L124)</f>
        <v>38571.025053902427</v>
      </c>
    </row>
    <row r="150" spans="2:3" ht="14.25" customHeight="1" x14ac:dyDescent="0.2">
      <c r="B150" s="207">
        <f>Amortization!B125</f>
        <v>120</v>
      </c>
      <c r="C150" s="12">
        <f>IF(B150&lt;=$D$10,0,Amortization!L125)</f>
        <v>5751043.7685181331</v>
      </c>
    </row>
    <row r="151" spans="2:3" ht="14.25" customHeight="1" x14ac:dyDescent="0.2">
      <c r="B151" s="207" t="str">
        <f>Amortization!B126</f>
        <v/>
      </c>
      <c r="C151" s="12" t="str">
        <f>IF(B151&lt;=$D$10,0,Amortization!L126)</f>
        <v/>
      </c>
    </row>
    <row r="152" spans="2:3" ht="14.25" customHeight="1" x14ac:dyDescent="0.2">
      <c r="B152" s="207" t="str">
        <f>Amortization!B127</f>
        <v/>
      </c>
      <c r="C152" s="12" t="str">
        <f>IF(B152&lt;=$D$10,0,Amortization!L127)</f>
        <v/>
      </c>
    </row>
    <row r="153" spans="2:3" ht="14.25" customHeight="1" x14ac:dyDescent="0.2">
      <c r="B153" s="207" t="str">
        <f>Amortization!B128</f>
        <v/>
      </c>
      <c r="C153" s="12" t="str">
        <f>IF(B153&lt;=$D$10,0,Amortization!L128)</f>
        <v/>
      </c>
    </row>
    <row r="154" spans="2:3" ht="14.25" customHeight="1" x14ac:dyDescent="0.2">
      <c r="B154" s="207" t="str">
        <f>Amortization!B129</f>
        <v/>
      </c>
      <c r="C154" s="12" t="str">
        <f>IF(B154&lt;=$D$10,0,Amortization!L129)</f>
        <v/>
      </c>
    </row>
    <row r="155" spans="2:3" ht="14.25" customHeight="1" x14ac:dyDescent="0.2">
      <c r="B155" s="207" t="str">
        <f>Amortization!B130</f>
        <v/>
      </c>
      <c r="C155" s="12" t="str">
        <f>IF(B155&lt;=$D$10,0,Amortization!L130)</f>
        <v/>
      </c>
    </row>
    <row r="156" spans="2:3" ht="14.25" customHeight="1" x14ac:dyDescent="0.2">
      <c r="B156" s="207" t="str">
        <f>Amortization!B131</f>
        <v/>
      </c>
      <c r="C156" s="12" t="str">
        <f>IF(B156&lt;=$D$10,0,Amortization!L131)</f>
        <v/>
      </c>
    </row>
    <row r="157" spans="2:3" ht="14.25" customHeight="1" x14ac:dyDescent="0.2">
      <c r="B157" s="207" t="str">
        <f>Amortization!B132</f>
        <v/>
      </c>
      <c r="C157" s="12" t="str">
        <f>IF(B157&lt;=$D$10,0,Amortization!L132)</f>
        <v/>
      </c>
    </row>
    <row r="158" spans="2:3" ht="14.25" customHeight="1" x14ac:dyDescent="0.2">
      <c r="B158" s="207" t="str">
        <f>Amortization!B133</f>
        <v/>
      </c>
      <c r="C158" s="12" t="str">
        <f>IF(B158&lt;=$D$10,0,Amortization!L133)</f>
        <v/>
      </c>
    </row>
    <row r="159" spans="2:3" ht="14.25" customHeight="1" x14ac:dyDescent="0.2">
      <c r="B159" s="207" t="str">
        <f>Amortization!B134</f>
        <v/>
      </c>
      <c r="C159" s="12" t="str">
        <f>IF(B159&lt;=$D$10,0,Amortization!L134)</f>
        <v/>
      </c>
    </row>
    <row r="160" spans="2:3" ht="14.25" customHeight="1" x14ac:dyDescent="0.2">
      <c r="B160" s="207" t="str">
        <f>Amortization!B135</f>
        <v/>
      </c>
      <c r="C160" s="12" t="str">
        <f>IF(B160&lt;=$D$10,0,Amortization!L135)</f>
        <v/>
      </c>
    </row>
    <row r="161" spans="2:3" ht="14.25" customHeight="1" x14ac:dyDescent="0.2">
      <c r="B161" s="207" t="str">
        <f>Amortization!B136</f>
        <v/>
      </c>
      <c r="C161" s="12" t="str">
        <f>IF(B161&lt;=$D$10,0,Amortization!L136)</f>
        <v/>
      </c>
    </row>
    <row r="162" spans="2:3" ht="14.25" customHeight="1" x14ac:dyDescent="0.2">
      <c r="B162" s="207" t="str">
        <f>Amortization!B137</f>
        <v/>
      </c>
      <c r="C162" s="12" t="str">
        <f>IF(B162&lt;=$D$10,0,Amortization!L137)</f>
        <v/>
      </c>
    </row>
    <row r="163" spans="2:3" ht="14.25" customHeight="1" x14ac:dyDescent="0.2">
      <c r="B163" s="207" t="str">
        <f>Amortization!B138</f>
        <v/>
      </c>
      <c r="C163" s="12" t="str">
        <f>IF(B163&lt;=$D$10,0,Amortization!L138)</f>
        <v/>
      </c>
    </row>
    <row r="164" spans="2:3" ht="14.25" customHeight="1" x14ac:dyDescent="0.2">
      <c r="B164" s="207" t="str">
        <f>Amortization!B139</f>
        <v/>
      </c>
      <c r="C164" s="12" t="str">
        <f>IF(B164&lt;=$D$10,0,Amortization!L139)</f>
        <v/>
      </c>
    </row>
    <row r="165" spans="2:3" ht="14.25" customHeight="1" x14ac:dyDescent="0.2">
      <c r="B165" s="207" t="str">
        <f>Amortization!B140</f>
        <v/>
      </c>
      <c r="C165" s="12" t="str">
        <f>IF(B165&lt;=$D$10,0,Amortization!L140)</f>
        <v/>
      </c>
    </row>
    <row r="166" spans="2:3" ht="14.25" customHeight="1" x14ac:dyDescent="0.2">
      <c r="B166" s="207" t="str">
        <f>Amortization!B141</f>
        <v/>
      </c>
      <c r="C166" s="12" t="str">
        <f>IF(B166&lt;=$D$10,0,Amortization!L141)</f>
        <v/>
      </c>
    </row>
    <row r="167" spans="2:3" ht="14.25" customHeight="1" x14ac:dyDescent="0.2">
      <c r="B167" s="207" t="str">
        <f>Amortization!B142</f>
        <v/>
      </c>
      <c r="C167" s="12" t="str">
        <f>IF(B167&lt;=$D$10,0,Amortization!L142)</f>
        <v/>
      </c>
    </row>
    <row r="168" spans="2:3" ht="14.25" customHeight="1" x14ac:dyDescent="0.2">
      <c r="B168" s="207" t="str">
        <f>Amortization!B143</f>
        <v/>
      </c>
      <c r="C168" s="12" t="str">
        <f>IF(B168&lt;=$D$10,0,Amortization!L143)</f>
        <v/>
      </c>
    </row>
    <row r="169" spans="2:3" ht="14.25" customHeight="1" x14ac:dyDescent="0.2">
      <c r="B169" s="207" t="str">
        <f>Amortization!B144</f>
        <v/>
      </c>
      <c r="C169" s="12" t="str">
        <f>IF(B169&lt;=$D$10,0,Amortization!L144)</f>
        <v/>
      </c>
    </row>
    <row r="170" spans="2:3" ht="14.25" customHeight="1" x14ac:dyDescent="0.2">
      <c r="B170" s="207" t="str">
        <f>Amortization!B145</f>
        <v/>
      </c>
      <c r="C170" s="12" t="str">
        <f>IF(B170&lt;=$D$10,0,Amortization!L145)</f>
        <v/>
      </c>
    </row>
    <row r="171" spans="2:3" ht="14.25" customHeight="1" x14ac:dyDescent="0.2">
      <c r="B171" s="207" t="str">
        <f>Amortization!B146</f>
        <v/>
      </c>
      <c r="C171" s="12" t="str">
        <f>IF(B171&lt;=$D$10,0,Amortization!L146)</f>
        <v/>
      </c>
    </row>
    <row r="172" spans="2:3" ht="14.25" customHeight="1" x14ac:dyDescent="0.2">
      <c r="B172" s="207" t="str">
        <f>Amortization!B147</f>
        <v/>
      </c>
      <c r="C172" s="12" t="str">
        <f>IF(B172&lt;=$D$10,0,Amortization!L147)</f>
        <v/>
      </c>
    </row>
    <row r="173" spans="2:3" ht="14.25" customHeight="1" x14ac:dyDescent="0.2">
      <c r="B173" s="207" t="str">
        <f>Amortization!B148</f>
        <v/>
      </c>
      <c r="C173" s="12" t="str">
        <f>IF(B173&lt;=$D$10,0,Amortization!L148)</f>
        <v/>
      </c>
    </row>
    <row r="174" spans="2:3" ht="14.25" customHeight="1" x14ac:dyDescent="0.2">
      <c r="B174" s="207" t="str">
        <f>Amortization!B149</f>
        <v/>
      </c>
      <c r="C174" s="12" t="str">
        <f>IF(B174&lt;=$D$10,0,Amortization!L149)</f>
        <v/>
      </c>
    </row>
    <row r="175" spans="2:3" ht="14.25" customHeight="1" x14ac:dyDescent="0.2">
      <c r="B175" s="207" t="str">
        <f>Amortization!B150</f>
        <v/>
      </c>
      <c r="C175" s="12" t="str">
        <f>IF(B175&lt;=$D$10,0,Amortization!L150)</f>
        <v/>
      </c>
    </row>
    <row r="176" spans="2:3" ht="14.25" customHeight="1" x14ac:dyDescent="0.2">
      <c r="B176" s="207" t="str">
        <f>Amortization!B151</f>
        <v/>
      </c>
      <c r="C176" s="12" t="str">
        <f>IF(B176&lt;=$D$10,0,Amortization!L151)</f>
        <v/>
      </c>
    </row>
    <row r="177" spans="2:3" ht="14.25" customHeight="1" x14ac:dyDescent="0.2">
      <c r="B177" s="207" t="str">
        <f>Amortization!B152</f>
        <v/>
      </c>
      <c r="C177" s="12" t="str">
        <f>IF(B177&lt;=$D$10,0,Amortization!L152)</f>
        <v/>
      </c>
    </row>
    <row r="178" spans="2:3" ht="14.25" customHeight="1" x14ac:dyDescent="0.2">
      <c r="B178" s="207" t="str">
        <f>Amortization!B153</f>
        <v/>
      </c>
      <c r="C178" s="12" t="str">
        <f>IF(B178&lt;=$D$10,0,Amortization!L153)</f>
        <v/>
      </c>
    </row>
    <row r="179" spans="2:3" ht="14.25" customHeight="1" x14ac:dyDescent="0.2">
      <c r="B179" s="207" t="str">
        <f>Amortization!B154</f>
        <v/>
      </c>
      <c r="C179" s="12" t="str">
        <f>IF(B179&lt;=$D$10,0,Amortization!L154)</f>
        <v/>
      </c>
    </row>
    <row r="180" spans="2:3" ht="14.25" customHeight="1" x14ac:dyDescent="0.2">
      <c r="B180" s="207" t="str">
        <f>Amortization!B155</f>
        <v/>
      </c>
      <c r="C180" s="12" t="str">
        <f>IF(B180&lt;=$D$10,0,Amortization!L155)</f>
        <v/>
      </c>
    </row>
    <row r="181" spans="2:3" ht="14.25" customHeight="1" x14ac:dyDescent="0.2">
      <c r="B181" s="207" t="str">
        <f>Amortization!B156</f>
        <v/>
      </c>
      <c r="C181" s="12" t="str">
        <f>IF(B181&lt;=$D$10,0,Amortization!L156)</f>
        <v/>
      </c>
    </row>
    <row r="182" spans="2:3" ht="14.25" customHeight="1" x14ac:dyDescent="0.2">
      <c r="B182" s="207" t="str">
        <f>Amortization!B157</f>
        <v/>
      </c>
      <c r="C182" s="12" t="str">
        <f>IF(B182&lt;=$D$10,0,Amortization!L157)</f>
        <v/>
      </c>
    </row>
    <row r="183" spans="2:3" ht="14.25" customHeight="1" x14ac:dyDescent="0.2">
      <c r="B183" s="207" t="str">
        <f>Amortization!B158</f>
        <v/>
      </c>
      <c r="C183" s="12" t="str">
        <f>IF(B183&lt;=$D$10,0,Amortization!L158)</f>
        <v/>
      </c>
    </row>
    <row r="184" spans="2:3" ht="14.25" customHeight="1" x14ac:dyDescent="0.2">
      <c r="B184" s="207" t="str">
        <f>Amortization!B159</f>
        <v/>
      </c>
      <c r="C184" s="12" t="str">
        <f>IF(B184&lt;=$D$10,0,Amortization!L159)</f>
        <v/>
      </c>
    </row>
    <row r="185" spans="2:3" ht="14.25" customHeight="1" x14ac:dyDescent="0.2">
      <c r="B185" s="207" t="str">
        <f>Amortization!B160</f>
        <v/>
      </c>
      <c r="C185" s="12" t="str">
        <f>IF(B185&lt;=$D$10,0,Amortization!L160)</f>
        <v/>
      </c>
    </row>
    <row r="186" spans="2:3" ht="14.25" customHeight="1" x14ac:dyDescent="0.2">
      <c r="B186" s="207" t="str">
        <f>Amortization!B161</f>
        <v/>
      </c>
      <c r="C186" s="12" t="str">
        <f>IF(B186&lt;=$D$10,0,Amortization!L161)</f>
        <v/>
      </c>
    </row>
    <row r="187" spans="2:3" ht="14.25" customHeight="1" x14ac:dyDescent="0.2">
      <c r="B187" s="207" t="str">
        <f>Amortization!B162</f>
        <v/>
      </c>
      <c r="C187" s="12" t="str">
        <f>IF(B187&lt;=$D$10,0,Amortization!L162)</f>
        <v/>
      </c>
    </row>
    <row r="188" spans="2:3" ht="14.25" customHeight="1" x14ac:dyDescent="0.2">
      <c r="B188" s="207" t="str">
        <f>Amortization!B163</f>
        <v/>
      </c>
      <c r="C188" s="12" t="str">
        <f>IF(B188&lt;=$D$10,0,Amortization!L163)</f>
        <v/>
      </c>
    </row>
    <row r="189" spans="2:3" ht="14.25" customHeight="1" x14ac:dyDescent="0.2">
      <c r="B189" s="207" t="str">
        <f>Amortization!B164</f>
        <v/>
      </c>
      <c r="C189" s="12" t="str">
        <f>IF(B189&lt;=$D$10,0,Amortization!L164)</f>
        <v/>
      </c>
    </row>
    <row r="190" spans="2:3" ht="14.25" customHeight="1" x14ac:dyDescent="0.2">
      <c r="B190" s="207" t="str">
        <f>Amortization!B165</f>
        <v/>
      </c>
      <c r="C190" s="12" t="str">
        <f>IF(B190&lt;=$D$10,0,Amortization!L165)</f>
        <v/>
      </c>
    </row>
    <row r="191" spans="2:3" ht="14.25" customHeight="1" x14ac:dyDescent="0.2">
      <c r="B191" s="207" t="str">
        <f>Amortization!B166</f>
        <v/>
      </c>
      <c r="C191" s="12" t="str">
        <f>IF(B191&lt;=$D$10,0,Amortization!L166)</f>
        <v/>
      </c>
    </row>
    <row r="192" spans="2:3" ht="14.25" customHeight="1" x14ac:dyDescent="0.2">
      <c r="B192" s="207" t="str">
        <f>Amortization!B167</f>
        <v/>
      </c>
      <c r="C192" s="12" t="str">
        <f>IF(B192&lt;=$D$10,0,Amortization!L167)</f>
        <v/>
      </c>
    </row>
    <row r="193" spans="2:3" ht="14.25" customHeight="1" x14ac:dyDescent="0.2">
      <c r="B193" s="207" t="str">
        <f>Amortization!B168</f>
        <v/>
      </c>
      <c r="C193" s="12" t="str">
        <f>IF(B193&lt;=$D$10,0,Amortization!L168)</f>
        <v/>
      </c>
    </row>
    <row r="194" spans="2:3" ht="14.25" customHeight="1" x14ac:dyDescent="0.2">
      <c r="B194" s="207" t="str">
        <f>Amortization!B169</f>
        <v/>
      </c>
      <c r="C194" s="12" t="str">
        <f>IF(B194&lt;=$D$10,0,Amortization!L169)</f>
        <v/>
      </c>
    </row>
    <row r="195" spans="2:3" ht="14.25" customHeight="1" x14ac:dyDescent="0.2">
      <c r="B195" s="207" t="str">
        <f>Amortization!B170</f>
        <v/>
      </c>
      <c r="C195" s="12" t="str">
        <f>IF(B195&lt;=$D$10,0,Amortization!L170)</f>
        <v/>
      </c>
    </row>
    <row r="196" spans="2:3" ht="14.25" customHeight="1" x14ac:dyDescent="0.2">
      <c r="B196" s="207" t="str">
        <f>Amortization!B171</f>
        <v/>
      </c>
      <c r="C196" s="12" t="str">
        <f>IF(B196&lt;=$D$10,0,Amortization!L171)</f>
        <v/>
      </c>
    </row>
    <row r="197" spans="2:3" ht="14.25" customHeight="1" x14ac:dyDescent="0.2">
      <c r="B197" s="207" t="str">
        <f>Amortization!B172</f>
        <v/>
      </c>
      <c r="C197" s="12" t="str">
        <f>IF(B197&lt;=$D$10,0,Amortization!L172)</f>
        <v/>
      </c>
    </row>
    <row r="198" spans="2:3" ht="14.25" customHeight="1" x14ac:dyDescent="0.2">
      <c r="B198" s="207" t="str">
        <f>Amortization!B173</f>
        <v/>
      </c>
      <c r="C198" s="12" t="str">
        <f>IF(B198&lt;=$D$10,0,Amortization!L173)</f>
        <v/>
      </c>
    </row>
    <row r="199" spans="2:3" ht="14.25" customHeight="1" x14ac:dyDescent="0.2">
      <c r="B199" s="207" t="str">
        <f>Amortization!B174</f>
        <v/>
      </c>
      <c r="C199" s="12" t="str">
        <f>IF(B199&lt;=$D$10,0,Amortization!L174)</f>
        <v/>
      </c>
    </row>
    <row r="200" spans="2:3" ht="14.25" customHeight="1" x14ac:dyDescent="0.2">
      <c r="B200" s="207" t="str">
        <f>Amortization!B175</f>
        <v/>
      </c>
      <c r="C200" s="12" t="str">
        <f>IF(B200&lt;=$D$10,0,Amortization!L175)</f>
        <v/>
      </c>
    </row>
    <row r="201" spans="2:3" ht="14.25" customHeight="1" x14ac:dyDescent="0.2">
      <c r="B201" s="207" t="str">
        <f>Amortization!B176</f>
        <v/>
      </c>
      <c r="C201" s="12" t="str">
        <f>IF(B201&lt;=$D$10,0,Amortization!L176)</f>
        <v/>
      </c>
    </row>
    <row r="202" spans="2:3" ht="14.25" customHeight="1" x14ac:dyDescent="0.2">
      <c r="B202" s="207" t="str">
        <f>Amortization!B177</f>
        <v/>
      </c>
      <c r="C202" s="12" t="str">
        <f>IF(B202&lt;=$D$10,0,Amortization!L177)</f>
        <v/>
      </c>
    </row>
    <row r="203" spans="2:3" ht="14.25" customHeight="1" x14ac:dyDescent="0.2">
      <c r="B203" s="207" t="str">
        <f>Amortization!B178</f>
        <v/>
      </c>
      <c r="C203" s="12" t="str">
        <f>IF(B203&lt;=$D$10,0,Amortization!L178)</f>
        <v/>
      </c>
    </row>
    <row r="204" spans="2:3" ht="14.25" customHeight="1" x14ac:dyDescent="0.2">
      <c r="B204" s="207" t="str">
        <f>Amortization!B179</f>
        <v/>
      </c>
      <c r="C204" s="12" t="str">
        <f>IF(B204&lt;=$D$10,0,Amortization!L179)</f>
        <v/>
      </c>
    </row>
    <row r="205" spans="2:3" ht="14.25" customHeight="1" x14ac:dyDescent="0.2">
      <c r="B205" s="207" t="str">
        <f>Amortization!B180</f>
        <v/>
      </c>
      <c r="C205" s="12" t="str">
        <f>IF(B205&lt;=$D$10,0,Amortization!L180)</f>
        <v/>
      </c>
    </row>
    <row r="206" spans="2:3" ht="14.25" customHeight="1" x14ac:dyDescent="0.2">
      <c r="B206" s="207" t="str">
        <f>Amortization!B181</f>
        <v/>
      </c>
      <c r="C206" s="12" t="str">
        <f>IF(B206&lt;=$D$10,0,Amortization!L181)</f>
        <v/>
      </c>
    </row>
    <row r="207" spans="2:3" ht="14.25" customHeight="1" x14ac:dyDescent="0.2">
      <c r="B207" s="207" t="str">
        <f>Amortization!B182</f>
        <v/>
      </c>
      <c r="C207" s="12" t="str">
        <f>IF(B207&lt;=$D$10,0,Amortization!L182)</f>
        <v/>
      </c>
    </row>
    <row r="208" spans="2:3" ht="14.25" customHeight="1" x14ac:dyDescent="0.2">
      <c r="B208" s="207" t="str">
        <f>Amortization!B183</f>
        <v/>
      </c>
      <c r="C208" s="12" t="str">
        <f>IF(B208&lt;=$D$10,0,Amortization!L183)</f>
        <v/>
      </c>
    </row>
    <row r="209" spans="2:3" ht="14.25" customHeight="1" x14ac:dyDescent="0.2">
      <c r="B209" s="207" t="str">
        <f>Amortization!B184</f>
        <v/>
      </c>
      <c r="C209" s="12" t="str">
        <f>IF(B209&lt;=$D$10,0,Amortization!L184)</f>
        <v/>
      </c>
    </row>
    <row r="210" spans="2:3" ht="14.25" customHeight="1" x14ac:dyDescent="0.2">
      <c r="B210" s="207" t="str">
        <f>Amortization!B185</f>
        <v/>
      </c>
      <c r="C210" s="12" t="str">
        <f>IF(B210&lt;=$D$10,0,Amortization!L185)</f>
        <v/>
      </c>
    </row>
    <row r="211" spans="2:3" ht="14.25" customHeight="1" x14ac:dyDescent="0.2">
      <c r="B211" s="207" t="str">
        <f>Amortization!B186</f>
        <v/>
      </c>
      <c r="C211" s="12" t="str">
        <f>IF(B211&lt;=$D$10,0,Amortization!L186)</f>
        <v/>
      </c>
    </row>
    <row r="212" spans="2:3" ht="14.25" customHeight="1" x14ac:dyDescent="0.2">
      <c r="B212" s="207" t="str">
        <f>Amortization!B187</f>
        <v/>
      </c>
      <c r="C212" s="12" t="str">
        <f>IF(B212&lt;=$D$10,0,Amortization!L187)</f>
        <v/>
      </c>
    </row>
    <row r="213" spans="2:3" ht="14.25" customHeight="1" x14ac:dyDescent="0.2">
      <c r="B213" s="207" t="str">
        <f>Amortization!B188</f>
        <v/>
      </c>
      <c r="C213" s="12" t="str">
        <f>IF(B213&lt;=$D$10,0,Amortization!L188)</f>
        <v/>
      </c>
    </row>
    <row r="214" spans="2:3" ht="14.25" customHeight="1" x14ac:dyDescent="0.2">
      <c r="B214" s="207" t="str">
        <f>Amortization!B189</f>
        <v/>
      </c>
      <c r="C214" s="12" t="str">
        <f>IF(B214&lt;=$D$10,0,Amortization!L189)</f>
        <v/>
      </c>
    </row>
    <row r="215" spans="2:3" ht="14.25" customHeight="1" x14ac:dyDescent="0.2">
      <c r="B215" s="207" t="str">
        <f>Amortization!B190</f>
        <v/>
      </c>
      <c r="C215" s="12" t="str">
        <f>IF(B215&lt;=$D$10,0,Amortization!L190)</f>
        <v/>
      </c>
    </row>
    <row r="216" spans="2:3" ht="14.25" customHeight="1" x14ac:dyDescent="0.2">
      <c r="B216" s="207" t="str">
        <f>Amortization!B191</f>
        <v/>
      </c>
      <c r="C216" s="12" t="str">
        <f>IF(B216&lt;=$D$10,0,Amortization!L191)</f>
        <v/>
      </c>
    </row>
    <row r="217" spans="2:3" ht="14.25" customHeight="1" x14ac:dyDescent="0.2">
      <c r="B217" s="207" t="str">
        <f>Amortization!B192</f>
        <v/>
      </c>
      <c r="C217" s="12" t="str">
        <f>IF(B217&lt;=$D$10,0,Amortization!L192)</f>
        <v/>
      </c>
    </row>
    <row r="218" spans="2:3" ht="14.25" customHeight="1" x14ac:dyDescent="0.2">
      <c r="B218" s="207" t="str">
        <f>Amortization!B193</f>
        <v/>
      </c>
      <c r="C218" s="12" t="str">
        <f>IF(B218&lt;=$D$10,0,Amortization!L193)</f>
        <v/>
      </c>
    </row>
    <row r="219" spans="2:3" ht="14.25" customHeight="1" x14ac:dyDescent="0.2">
      <c r="B219" s="207" t="str">
        <f>Amortization!B194</f>
        <v/>
      </c>
      <c r="C219" s="12" t="str">
        <f>IF(B219&lt;=$D$10,0,Amortization!L194)</f>
        <v/>
      </c>
    </row>
    <row r="220" spans="2:3" ht="14.25" customHeight="1" x14ac:dyDescent="0.2">
      <c r="B220" s="207" t="str">
        <f>Amortization!B195</f>
        <v/>
      </c>
      <c r="C220" s="12" t="str">
        <f>IF(B220&lt;=$D$10,0,Amortization!L195)</f>
        <v/>
      </c>
    </row>
    <row r="221" spans="2:3" ht="14.25" customHeight="1" x14ac:dyDescent="0.2">
      <c r="B221" s="207" t="str">
        <f>Amortization!B196</f>
        <v/>
      </c>
      <c r="C221" s="12" t="str">
        <f>IF(B221&lt;=$D$10,0,Amortization!L196)</f>
        <v/>
      </c>
    </row>
    <row r="222" spans="2:3" ht="14.25" customHeight="1" x14ac:dyDescent="0.2">
      <c r="B222" s="207" t="str">
        <f>Amortization!B197</f>
        <v/>
      </c>
      <c r="C222" s="12" t="str">
        <f>IF(B222&lt;=$D$10,0,Amortization!L197)</f>
        <v/>
      </c>
    </row>
    <row r="223" spans="2:3" ht="14.25" customHeight="1" x14ac:dyDescent="0.2">
      <c r="B223" s="207" t="str">
        <f>Amortization!B198</f>
        <v/>
      </c>
      <c r="C223" s="12" t="str">
        <f>IF(B223&lt;=$D$10,0,Amortization!L198)</f>
        <v/>
      </c>
    </row>
    <row r="224" spans="2:3" ht="14.25" customHeight="1" x14ac:dyDescent="0.2">
      <c r="B224" s="207" t="str">
        <f>Amortization!B199</f>
        <v/>
      </c>
      <c r="C224" s="12" t="str">
        <f>IF(B224&lt;=$D$10,0,Amortization!L199)</f>
        <v/>
      </c>
    </row>
    <row r="225" spans="2:3" ht="14.25" customHeight="1" x14ac:dyDescent="0.2">
      <c r="B225" s="207" t="str">
        <f>Amortization!B200</f>
        <v/>
      </c>
      <c r="C225" s="12" t="str">
        <f>IF(B225&lt;=$D$10,0,Amortization!L200)</f>
        <v/>
      </c>
    </row>
    <row r="226" spans="2:3" ht="14.25" customHeight="1" x14ac:dyDescent="0.2">
      <c r="B226" s="207" t="str">
        <f>Amortization!B201</f>
        <v/>
      </c>
      <c r="C226" s="12" t="str">
        <f>IF(B226&lt;=$D$10,0,Amortization!L201)</f>
        <v/>
      </c>
    </row>
    <row r="227" spans="2:3" ht="14.25" customHeight="1" x14ac:dyDescent="0.2">
      <c r="B227" s="207" t="str">
        <f>Amortization!B202</f>
        <v/>
      </c>
      <c r="C227" s="12" t="str">
        <f>IF(B227&lt;=$D$10,0,Amortization!L202)</f>
        <v/>
      </c>
    </row>
    <row r="228" spans="2:3" ht="14.25" customHeight="1" x14ac:dyDescent="0.2">
      <c r="B228" s="207" t="str">
        <f>Amortization!B203</f>
        <v/>
      </c>
      <c r="C228" s="12" t="str">
        <f>IF(B228&lt;=$D$10,0,Amortization!L203)</f>
        <v/>
      </c>
    </row>
    <row r="229" spans="2:3" ht="14.25" customHeight="1" x14ac:dyDescent="0.2">
      <c r="B229" s="207" t="str">
        <f>Amortization!B204</f>
        <v/>
      </c>
      <c r="C229" s="12" t="str">
        <f>IF(B229&lt;=$D$10,0,Amortization!L204)</f>
        <v/>
      </c>
    </row>
    <row r="230" spans="2:3" ht="14.25" customHeight="1" x14ac:dyDescent="0.2">
      <c r="B230" s="207" t="str">
        <f>Amortization!B205</f>
        <v/>
      </c>
      <c r="C230" s="12" t="str">
        <f>IF(B230&lt;=$D$10,0,Amortization!L205)</f>
        <v/>
      </c>
    </row>
    <row r="231" spans="2:3" ht="14.25" customHeight="1" x14ac:dyDescent="0.2">
      <c r="B231" s="207" t="str">
        <f>Amortization!B206</f>
        <v/>
      </c>
      <c r="C231" s="12" t="str">
        <f>IF(B231&lt;=$D$10,0,Amortization!L206)</f>
        <v/>
      </c>
    </row>
    <row r="232" spans="2:3" ht="14.25" customHeight="1" x14ac:dyDescent="0.2">
      <c r="B232" s="207" t="str">
        <f>Amortization!B207</f>
        <v/>
      </c>
      <c r="C232" s="12" t="str">
        <f>IF(B232&lt;=$D$10,0,Amortization!L207)</f>
        <v/>
      </c>
    </row>
    <row r="233" spans="2:3" ht="14.25" customHeight="1" x14ac:dyDescent="0.2">
      <c r="B233" s="207" t="str">
        <f>Amortization!B208</f>
        <v/>
      </c>
      <c r="C233" s="12" t="str">
        <f>IF(B233&lt;=$D$10,0,Amortization!L208)</f>
        <v/>
      </c>
    </row>
    <row r="234" spans="2:3" ht="14.25" customHeight="1" x14ac:dyDescent="0.2">
      <c r="B234" s="207" t="str">
        <f>Amortization!B209</f>
        <v/>
      </c>
      <c r="C234" s="12" t="str">
        <f>IF(B234&lt;=$D$10,0,Amortization!L209)</f>
        <v/>
      </c>
    </row>
    <row r="235" spans="2:3" ht="14.25" customHeight="1" x14ac:dyDescent="0.2">
      <c r="B235" s="207" t="str">
        <f>Amortization!B210</f>
        <v/>
      </c>
      <c r="C235" s="12" t="str">
        <f>IF(B235&lt;=$D$10,0,Amortization!L210)</f>
        <v/>
      </c>
    </row>
    <row r="236" spans="2:3" ht="14.25" customHeight="1" x14ac:dyDescent="0.2">
      <c r="B236" s="207" t="str">
        <f>Amortization!B211</f>
        <v/>
      </c>
      <c r="C236" s="12" t="str">
        <f>IF(B236&lt;=$D$10,0,Amortization!L211)</f>
        <v/>
      </c>
    </row>
    <row r="237" spans="2:3" ht="14.25" customHeight="1" x14ac:dyDescent="0.2">
      <c r="B237" s="207" t="str">
        <f>Amortization!B212</f>
        <v/>
      </c>
      <c r="C237" s="12" t="str">
        <f>IF(B237&lt;=$D$10,0,Amortization!L212)</f>
        <v/>
      </c>
    </row>
    <row r="238" spans="2:3" ht="14.25" customHeight="1" x14ac:dyDescent="0.2">
      <c r="B238" s="207" t="str">
        <f>Amortization!B213</f>
        <v/>
      </c>
      <c r="C238" s="12" t="str">
        <f>IF(B238&lt;=$D$10,0,Amortization!L213)</f>
        <v/>
      </c>
    </row>
    <row r="239" spans="2:3" ht="14.25" customHeight="1" x14ac:dyDescent="0.2">
      <c r="B239" s="207" t="str">
        <f>Amortization!B214</f>
        <v/>
      </c>
      <c r="C239" s="12" t="str">
        <f>IF(B239&lt;=$D$10,0,Amortization!L214)</f>
        <v/>
      </c>
    </row>
    <row r="240" spans="2:3" ht="14.25" customHeight="1" x14ac:dyDescent="0.2">
      <c r="B240" s="207" t="str">
        <f>Amortization!B215</f>
        <v/>
      </c>
      <c r="C240" s="12" t="str">
        <f>IF(B240&lt;=$D$10,0,Amortization!L215)</f>
        <v/>
      </c>
    </row>
    <row r="241" spans="2:3" ht="14.25" customHeight="1" x14ac:dyDescent="0.2">
      <c r="B241" s="207" t="str">
        <f>Amortization!B216</f>
        <v/>
      </c>
      <c r="C241" s="12" t="str">
        <f>IF(B241&lt;=$D$10,0,Amortization!L216)</f>
        <v/>
      </c>
    </row>
    <row r="242" spans="2:3" ht="14.25" customHeight="1" x14ac:dyDescent="0.2">
      <c r="B242" s="207" t="str">
        <f>Amortization!B217</f>
        <v/>
      </c>
      <c r="C242" s="12" t="str">
        <f>IF(B242&lt;=$D$10,0,Amortization!L217)</f>
        <v/>
      </c>
    </row>
    <row r="243" spans="2:3" ht="14.25" customHeight="1" x14ac:dyDescent="0.2">
      <c r="B243" s="207" t="str">
        <f>Amortization!B218</f>
        <v/>
      </c>
      <c r="C243" s="12" t="str">
        <f>IF(B243&lt;=$D$10,0,Amortization!L218)</f>
        <v/>
      </c>
    </row>
    <row r="244" spans="2:3" ht="14.25" customHeight="1" x14ac:dyDescent="0.2">
      <c r="B244" s="207" t="str">
        <f>Amortization!B219</f>
        <v/>
      </c>
      <c r="C244" s="12" t="str">
        <f>IF(B244&lt;=$D$10,0,Amortization!L219)</f>
        <v/>
      </c>
    </row>
    <row r="245" spans="2:3" ht="14.25" customHeight="1" x14ac:dyDescent="0.2">
      <c r="B245" s="207" t="str">
        <f>Amortization!B220</f>
        <v/>
      </c>
      <c r="C245" s="12" t="str">
        <f>IF(B245&lt;=$D$10,0,Amortization!L220)</f>
        <v/>
      </c>
    </row>
    <row r="246" spans="2:3" ht="14.25" customHeight="1" x14ac:dyDescent="0.2">
      <c r="B246" s="207" t="str">
        <f>Amortization!B221</f>
        <v/>
      </c>
      <c r="C246" s="12" t="str">
        <f>IF(B246&lt;=$D$10,0,Amortization!L221)</f>
        <v/>
      </c>
    </row>
    <row r="247" spans="2:3" ht="14.25" customHeight="1" x14ac:dyDescent="0.2">
      <c r="B247" s="207" t="str">
        <f>Amortization!B222</f>
        <v/>
      </c>
      <c r="C247" s="12" t="str">
        <f>IF(B247&lt;=$D$10,0,Amortization!L222)</f>
        <v/>
      </c>
    </row>
    <row r="248" spans="2:3" ht="14.25" customHeight="1" x14ac:dyDescent="0.2">
      <c r="B248" s="207" t="str">
        <f>Amortization!B223</f>
        <v/>
      </c>
      <c r="C248" s="12" t="str">
        <f>IF(B248&lt;=$D$10,0,Amortization!L223)</f>
        <v/>
      </c>
    </row>
    <row r="249" spans="2:3" ht="14.25" customHeight="1" x14ac:dyDescent="0.2">
      <c r="B249" s="207" t="str">
        <f>Amortization!B224</f>
        <v/>
      </c>
      <c r="C249" s="12" t="str">
        <f>IF(B249&lt;=$D$10,0,Amortization!L224)</f>
        <v/>
      </c>
    </row>
    <row r="250" spans="2:3" ht="14.25" customHeight="1" x14ac:dyDescent="0.2">
      <c r="B250" s="207" t="str">
        <f>Amortization!B225</f>
        <v/>
      </c>
      <c r="C250" s="12" t="str">
        <f>IF(B250&lt;=$D$10,0,Amortization!L225)</f>
        <v/>
      </c>
    </row>
    <row r="251" spans="2:3" ht="14.25" customHeight="1" x14ac:dyDescent="0.2">
      <c r="B251" s="207" t="str">
        <f>Amortization!B226</f>
        <v/>
      </c>
      <c r="C251" s="12" t="str">
        <f>IF(B251&lt;=$D$10,0,Amortization!L226)</f>
        <v/>
      </c>
    </row>
    <row r="252" spans="2:3" ht="14.25" customHeight="1" x14ac:dyDescent="0.2">
      <c r="B252" s="207" t="str">
        <f>Amortization!B227</f>
        <v/>
      </c>
      <c r="C252" s="12" t="str">
        <f>IF(B252&lt;=$D$10,0,Amortization!L227)</f>
        <v/>
      </c>
    </row>
    <row r="253" spans="2:3" ht="14.25" customHeight="1" x14ac:dyDescent="0.2">
      <c r="B253" s="207" t="str">
        <f>Amortization!B228</f>
        <v/>
      </c>
      <c r="C253" s="12" t="str">
        <f>IF(B253&lt;=$D$10,0,Amortization!L228)</f>
        <v/>
      </c>
    </row>
    <row r="254" spans="2:3" ht="14.25" customHeight="1" x14ac:dyDescent="0.2">
      <c r="B254" s="207" t="str">
        <f>Amortization!B229</f>
        <v/>
      </c>
      <c r="C254" s="12" t="str">
        <f>IF(B254&lt;=$D$10,0,Amortization!L229)</f>
        <v/>
      </c>
    </row>
    <row r="255" spans="2:3" ht="14.25" customHeight="1" x14ac:dyDescent="0.2">
      <c r="B255" s="207" t="str">
        <f>Amortization!B230</f>
        <v/>
      </c>
      <c r="C255" s="12" t="str">
        <f>IF(B255&lt;=$D$10,0,Amortization!L230)</f>
        <v/>
      </c>
    </row>
    <row r="256" spans="2:3" ht="14.25" customHeight="1" x14ac:dyDescent="0.2">
      <c r="B256" s="207" t="str">
        <f>Amortization!B231</f>
        <v/>
      </c>
      <c r="C256" s="12" t="str">
        <f>IF(B256&lt;=$D$10,0,Amortization!L231)</f>
        <v/>
      </c>
    </row>
    <row r="257" spans="2:3" ht="14.25" customHeight="1" x14ac:dyDescent="0.2">
      <c r="B257" s="207" t="str">
        <f>Amortization!B232</f>
        <v/>
      </c>
      <c r="C257" s="12" t="str">
        <f>IF(B257&lt;=$D$10,0,Amortization!L232)</f>
        <v/>
      </c>
    </row>
    <row r="258" spans="2:3" ht="14.25" customHeight="1" x14ac:dyDescent="0.2">
      <c r="B258" s="207" t="str">
        <f>Amortization!B233</f>
        <v/>
      </c>
      <c r="C258" s="12" t="str">
        <f>IF(B258&lt;=$D$10,0,Amortization!L233)</f>
        <v/>
      </c>
    </row>
    <row r="259" spans="2:3" ht="14.25" customHeight="1" x14ac:dyDescent="0.2">
      <c r="B259" s="207" t="str">
        <f>Amortization!B234</f>
        <v/>
      </c>
      <c r="C259" s="12" t="str">
        <f>IF(B259&lt;=$D$10,0,Amortization!L234)</f>
        <v/>
      </c>
    </row>
    <row r="260" spans="2:3" ht="14.25" customHeight="1" x14ac:dyDescent="0.2">
      <c r="B260" s="207" t="str">
        <f>Amortization!B235</f>
        <v/>
      </c>
      <c r="C260" s="12" t="str">
        <f>IF(B260&lt;=$D$10,0,Amortization!L235)</f>
        <v/>
      </c>
    </row>
    <row r="261" spans="2:3" ht="14.25" customHeight="1" x14ac:dyDescent="0.2">
      <c r="B261" s="207" t="str">
        <f>Amortization!B236</f>
        <v/>
      </c>
      <c r="C261" s="12" t="str">
        <f>IF(B261&lt;=$D$10,0,Amortization!L236)</f>
        <v/>
      </c>
    </row>
    <row r="262" spans="2:3" ht="14.25" customHeight="1" x14ac:dyDescent="0.2">
      <c r="B262" s="207" t="str">
        <f>Amortization!B237</f>
        <v/>
      </c>
      <c r="C262" s="12" t="str">
        <f>IF(B262&lt;=$D$10,0,Amortization!L237)</f>
        <v/>
      </c>
    </row>
    <row r="263" spans="2:3" ht="14.25" customHeight="1" x14ac:dyDescent="0.2">
      <c r="B263" s="207" t="str">
        <f>Amortization!B238</f>
        <v/>
      </c>
      <c r="C263" s="12" t="str">
        <f>IF(B263&lt;=$D$10,0,Amortization!L238)</f>
        <v/>
      </c>
    </row>
    <row r="264" spans="2:3" ht="14.25" customHeight="1" x14ac:dyDescent="0.2">
      <c r="B264" s="207" t="str">
        <f>Amortization!B239</f>
        <v/>
      </c>
      <c r="C264" s="12" t="str">
        <f>IF(B264&lt;=$D$10,0,Amortization!L239)</f>
        <v/>
      </c>
    </row>
    <row r="265" spans="2:3" ht="14.25" customHeight="1" x14ac:dyDescent="0.2">
      <c r="B265" s="207" t="str">
        <f>Amortization!B240</f>
        <v/>
      </c>
      <c r="C265" s="12" t="str">
        <f>IF(B265&lt;=$D$10,0,Amortization!L240)</f>
        <v/>
      </c>
    </row>
    <row r="266" spans="2:3" ht="14.25" customHeight="1" x14ac:dyDescent="0.2">
      <c r="B266" s="207" t="str">
        <f>Amortization!B241</f>
        <v/>
      </c>
      <c r="C266" s="12" t="str">
        <f>IF(B266&lt;=$D$10,0,Amortization!L241)</f>
        <v/>
      </c>
    </row>
    <row r="267" spans="2:3" ht="14.25" customHeight="1" x14ac:dyDescent="0.2">
      <c r="B267" s="207" t="str">
        <f>Amortization!B242</f>
        <v/>
      </c>
      <c r="C267" s="12" t="str">
        <f>IF(B267&lt;=$D$10,0,Amortization!L242)</f>
        <v/>
      </c>
    </row>
    <row r="268" spans="2:3" ht="14.25" customHeight="1" x14ac:dyDescent="0.2">
      <c r="B268" s="207" t="str">
        <f>Amortization!B243</f>
        <v/>
      </c>
      <c r="C268" s="12" t="str">
        <f>IF(B268&lt;=$D$10,0,Amortization!L243)</f>
        <v/>
      </c>
    </row>
    <row r="269" spans="2:3" ht="14.25" customHeight="1" x14ac:dyDescent="0.2">
      <c r="B269" s="207" t="str">
        <f>Amortization!B244</f>
        <v/>
      </c>
      <c r="C269" s="12" t="str">
        <f>IF(B269&lt;=$D$10,0,Amortization!L244)</f>
        <v/>
      </c>
    </row>
    <row r="270" spans="2:3" ht="14.25" customHeight="1" x14ac:dyDescent="0.2">
      <c r="B270" s="207" t="str">
        <f>Amortization!B245</f>
        <v/>
      </c>
      <c r="C270" s="12" t="str">
        <f>IF(B270&lt;=$D$10,0,Amortization!L245)</f>
        <v/>
      </c>
    </row>
    <row r="271" spans="2:3" ht="14.25" customHeight="1" x14ac:dyDescent="0.2">
      <c r="B271" s="207" t="str">
        <f>Amortization!B246</f>
        <v/>
      </c>
      <c r="C271" s="12" t="str">
        <f>IF(B271&lt;=$D$10,0,Amortization!L246)</f>
        <v/>
      </c>
    </row>
    <row r="272" spans="2:3" ht="14.25" customHeight="1" x14ac:dyDescent="0.2">
      <c r="B272" s="207" t="str">
        <f>Amortization!B247</f>
        <v/>
      </c>
      <c r="C272" s="12" t="str">
        <f>IF(B272&lt;=$D$10,0,Amortization!L247)</f>
        <v/>
      </c>
    </row>
    <row r="273" spans="2:3" ht="14.25" customHeight="1" x14ac:dyDescent="0.2">
      <c r="B273" s="207" t="str">
        <f>Amortization!B248</f>
        <v/>
      </c>
      <c r="C273" s="12" t="str">
        <f>IF(B273&lt;=$D$10,0,Amortization!L248)</f>
        <v/>
      </c>
    </row>
    <row r="274" spans="2:3" ht="14.25" customHeight="1" x14ac:dyDescent="0.2">
      <c r="B274" s="207" t="str">
        <f>Amortization!B249</f>
        <v/>
      </c>
      <c r="C274" s="12" t="str">
        <f>IF(B274&lt;=$D$10,0,Amortization!L249)</f>
        <v/>
      </c>
    </row>
    <row r="275" spans="2:3" ht="14.25" customHeight="1" x14ac:dyDescent="0.2">
      <c r="B275" s="207" t="str">
        <f>Amortization!B250</f>
        <v/>
      </c>
      <c r="C275" s="12" t="str">
        <f>IF(B275&lt;=$D$10,0,Amortization!L250)</f>
        <v/>
      </c>
    </row>
    <row r="276" spans="2:3" ht="14.25" customHeight="1" x14ac:dyDescent="0.2">
      <c r="B276" s="207" t="str">
        <f>Amortization!B251</f>
        <v/>
      </c>
      <c r="C276" s="12" t="str">
        <f>IF(B276&lt;=$D$10,0,Amortization!L251)</f>
        <v/>
      </c>
    </row>
    <row r="277" spans="2:3" ht="14.25" customHeight="1" x14ac:dyDescent="0.2">
      <c r="B277" s="207" t="str">
        <f>Amortization!B252</f>
        <v/>
      </c>
      <c r="C277" s="12" t="str">
        <f>IF(B277&lt;=$D$10,0,Amortization!L252)</f>
        <v/>
      </c>
    </row>
    <row r="278" spans="2:3" ht="14.25" customHeight="1" x14ac:dyDescent="0.2">
      <c r="B278" s="207" t="str">
        <f>Amortization!B253</f>
        <v/>
      </c>
      <c r="C278" s="12" t="str">
        <f>IF(B278&lt;=$D$10,0,Amortization!L253)</f>
        <v/>
      </c>
    </row>
    <row r="279" spans="2:3" ht="14.25" customHeight="1" x14ac:dyDescent="0.2">
      <c r="B279" s="207" t="str">
        <f>Amortization!B254</f>
        <v/>
      </c>
      <c r="C279" s="12" t="str">
        <f>IF(B279&lt;=$D$10,0,Amortization!L254)</f>
        <v/>
      </c>
    </row>
    <row r="280" spans="2:3" ht="14.25" customHeight="1" x14ac:dyDescent="0.2">
      <c r="B280" s="207" t="str">
        <f>Amortization!B255</f>
        <v/>
      </c>
      <c r="C280" s="12" t="str">
        <f>IF(B280&lt;=$D$10,0,Amortization!L255)</f>
        <v/>
      </c>
    </row>
    <row r="281" spans="2:3" ht="14.25" customHeight="1" x14ac:dyDescent="0.2">
      <c r="B281" s="207" t="str">
        <f>Amortization!B256</f>
        <v/>
      </c>
      <c r="C281" s="12" t="str">
        <f>IF(B281&lt;=$D$10,0,Amortization!L256)</f>
        <v/>
      </c>
    </row>
    <row r="282" spans="2:3" ht="14.25" customHeight="1" x14ac:dyDescent="0.2">
      <c r="B282" s="207" t="str">
        <f>Amortization!B257</f>
        <v/>
      </c>
      <c r="C282" s="12" t="str">
        <f>IF(B282&lt;=$D$10,0,Amortization!L257)</f>
        <v/>
      </c>
    </row>
    <row r="283" spans="2:3" ht="14.25" customHeight="1" x14ac:dyDescent="0.2">
      <c r="B283" s="207" t="str">
        <f>Amortization!B258</f>
        <v/>
      </c>
      <c r="C283" s="12" t="str">
        <f>IF(B283&lt;=$D$10,0,Amortization!L258)</f>
        <v/>
      </c>
    </row>
    <row r="284" spans="2:3" ht="14.25" customHeight="1" x14ac:dyDescent="0.2">
      <c r="B284" s="207" t="str">
        <f>Amortization!B259</f>
        <v/>
      </c>
      <c r="C284" s="12" t="str">
        <f>IF(B284&lt;=$D$10,0,Amortization!L259)</f>
        <v/>
      </c>
    </row>
    <row r="285" spans="2:3" ht="14.25" customHeight="1" x14ac:dyDescent="0.2">
      <c r="B285" s="207" t="str">
        <f>Amortization!B260</f>
        <v/>
      </c>
      <c r="C285" s="12" t="str">
        <f>IF(B285&lt;=$D$10,0,Amortization!L260)</f>
        <v/>
      </c>
    </row>
    <row r="286" spans="2:3" ht="14.25" customHeight="1" x14ac:dyDescent="0.2">
      <c r="B286" s="207" t="str">
        <f>Amortization!B261</f>
        <v/>
      </c>
      <c r="C286" s="12" t="str">
        <f>IF(B286&lt;=$D$10,0,Amortization!L261)</f>
        <v/>
      </c>
    </row>
    <row r="287" spans="2:3" ht="14.25" customHeight="1" x14ac:dyDescent="0.2">
      <c r="B287" s="207" t="str">
        <f>Amortization!B262</f>
        <v/>
      </c>
      <c r="C287" s="12" t="str">
        <f>IF(B287&lt;=$D$10,0,Amortization!L262)</f>
        <v/>
      </c>
    </row>
    <row r="288" spans="2:3" ht="14.25" customHeight="1" x14ac:dyDescent="0.2">
      <c r="B288" s="207" t="str">
        <f>Amortization!B263</f>
        <v/>
      </c>
      <c r="C288" s="12" t="str">
        <f>IF(B288&lt;=$D$10,0,Amortization!L263)</f>
        <v/>
      </c>
    </row>
    <row r="289" spans="2:3" ht="14.25" customHeight="1" x14ac:dyDescent="0.2">
      <c r="B289" s="207" t="str">
        <f>Amortization!B264</f>
        <v/>
      </c>
      <c r="C289" s="12" t="str">
        <f>IF(B289&lt;=$D$10,0,Amortization!L264)</f>
        <v/>
      </c>
    </row>
    <row r="290" spans="2:3" ht="14.25" customHeight="1" x14ac:dyDescent="0.2">
      <c r="B290" s="207" t="str">
        <f>Amortization!B265</f>
        <v/>
      </c>
      <c r="C290" s="12" t="str">
        <f>IF(B290&lt;=$D$10,0,Amortization!L265)</f>
        <v/>
      </c>
    </row>
    <row r="291" spans="2:3" ht="14.25" customHeight="1" x14ac:dyDescent="0.2">
      <c r="B291" s="207" t="str">
        <f>Amortization!B266</f>
        <v/>
      </c>
      <c r="C291" s="12" t="str">
        <f>IF(B291&lt;=$D$10,0,Amortization!L266)</f>
        <v/>
      </c>
    </row>
    <row r="292" spans="2:3" ht="14.25" customHeight="1" x14ac:dyDescent="0.2">
      <c r="B292" s="207" t="str">
        <f>Amortization!B267</f>
        <v/>
      </c>
      <c r="C292" s="12" t="str">
        <f>IF(B292&lt;=$D$10,0,Amortization!L267)</f>
        <v/>
      </c>
    </row>
    <row r="293" spans="2:3" ht="14.25" customHeight="1" x14ac:dyDescent="0.2">
      <c r="B293" s="207" t="str">
        <f>Amortization!B268</f>
        <v/>
      </c>
      <c r="C293" s="12" t="str">
        <f>IF(B293&lt;=$D$10,0,Amortization!L268)</f>
        <v/>
      </c>
    </row>
    <row r="294" spans="2:3" ht="14.25" customHeight="1" x14ac:dyDescent="0.2">
      <c r="B294" s="207" t="str">
        <f>Amortization!B269</f>
        <v/>
      </c>
      <c r="C294" s="12" t="str">
        <f>IF(B294&lt;=$D$10,0,Amortization!L269)</f>
        <v/>
      </c>
    </row>
    <row r="295" spans="2:3" ht="14.25" customHeight="1" x14ac:dyDescent="0.2">
      <c r="B295" s="207" t="str">
        <f>Amortization!B270</f>
        <v/>
      </c>
      <c r="C295" s="12" t="str">
        <f>IF(B295&lt;=$D$10,0,Amortization!L270)</f>
        <v/>
      </c>
    </row>
    <row r="296" spans="2:3" ht="14.25" customHeight="1" x14ac:dyDescent="0.2">
      <c r="B296" s="207" t="str">
        <f>Amortization!B271</f>
        <v/>
      </c>
      <c r="C296" s="12" t="str">
        <f>IF(B296&lt;=$D$10,0,Amortization!L271)</f>
        <v/>
      </c>
    </row>
    <row r="297" spans="2:3" ht="14.25" customHeight="1" x14ac:dyDescent="0.2">
      <c r="B297" s="207" t="str">
        <f>Amortization!B272</f>
        <v/>
      </c>
      <c r="C297" s="12" t="str">
        <f>IF(B297&lt;=$D$10,0,Amortization!L272)</f>
        <v/>
      </c>
    </row>
    <row r="298" spans="2:3" ht="14.25" customHeight="1" x14ac:dyDescent="0.2">
      <c r="B298" s="207" t="str">
        <f>Amortization!B273</f>
        <v/>
      </c>
      <c r="C298" s="12" t="str">
        <f>IF(B298&lt;=$D$10,0,Amortization!L273)</f>
        <v/>
      </c>
    </row>
    <row r="299" spans="2:3" ht="14.25" customHeight="1" x14ac:dyDescent="0.2">
      <c r="B299" s="207" t="str">
        <f>Amortization!B274</f>
        <v/>
      </c>
      <c r="C299" s="12" t="str">
        <f>IF(B299&lt;=$D$10,0,Amortization!L274)</f>
        <v/>
      </c>
    </row>
    <row r="300" spans="2:3" ht="14.25" customHeight="1" x14ac:dyDescent="0.2">
      <c r="B300" s="207" t="str">
        <f>Amortization!B275</f>
        <v/>
      </c>
      <c r="C300" s="12" t="str">
        <f>IF(B300&lt;=$D$10,0,Amortization!L275)</f>
        <v/>
      </c>
    </row>
    <row r="301" spans="2:3" ht="14.25" customHeight="1" x14ac:dyDescent="0.2">
      <c r="B301" s="207" t="str">
        <f>Amortization!B276</f>
        <v/>
      </c>
      <c r="C301" s="12" t="str">
        <f>IF(B301&lt;=$D$10,0,Amortization!L276)</f>
        <v/>
      </c>
    </row>
    <row r="302" spans="2:3" ht="14.25" customHeight="1" x14ac:dyDescent="0.2">
      <c r="B302" s="207" t="str">
        <f>Amortization!B277</f>
        <v/>
      </c>
      <c r="C302" s="12" t="str">
        <f>IF(B302&lt;=$D$10,0,Amortization!L277)</f>
        <v/>
      </c>
    </row>
    <row r="303" spans="2:3" ht="14.25" customHeight="1" x14ac:dyDescent="0.2">
      <c r="B303" s="207" t="str">
        <f>Amortization!B278</f>
        <v/>
      </c>
      <c r="C303" s="12" t="str">
        <f>IF(B303&lt;=$D$10,0,Amortization!L278)</f>
        <v/>
      </c>
    </row>
    <row r="304" spans="2:3" ht="14.25" customHeight="1" x14ac:dyDescent="0.2">
      <c r="B304" s="207" t="str">
        <f>Amortization!B279</f>
        <v/>
      </c>
      <c r="C304" s="12" t="str">
        <f>IF(B304&lt;=$D$10,0,Amortization!L279)</f>
        <v/>
      </c>
    </row>
    <row r="305" spans="2:3" ht="14.25" customHeight="1" x14ac:dyDescent="0.2">
      <c r="B305" s="207" t="str">
        <f>Amortization!B280</f>
        <v/>
      </c>
      <c r="C305" s="12" t="str">
        <f>IF(B305&lt;=$D$10,0,Amortization!L280)</f>
        <v/>
      </c>
    </row>
    <row r="306" spans="2:3" ht="14.25" customHeight="1" x14ac:dyDescent="0.2">
      <c r="B306" s="207" t="str">
        <f>Amortization!B281</f>
        <v/>
      </c>
      <c r="C306" s="12" t="str">
        <f>IF(B306&lt;=$D$10,0,Amortization!L281)</f>
        <v/>
      </c>
    </row>
    <row r="307" spans="2:3" ht="14.25" customHeight="1" x14ac:dyDescent="0.2">
      <c r="B307" s="207" t="str">
        <f>Amortization!B282</f>
        <v/>
      </c>
      <c r="C307" s="12" t="str">
        <f>IF(B307&lt;=$D$10,0,Amortization!L282)</f>
        <v/>
      </c>
    </row>
    <row r="308" spans="2:3" ht="14.25" customHeight="1" x14ac:dyDescent="0.2">
      <c r="B308" s="207" t="str">
        <f>Amortization!B283</f>
        <v/>
      </c>
      <c r="C308" s="12" t="str">
        <f>IF(B308&lt;=$D$10,0,Amortization!L283)</f>
        <v/>
      </c>
    </row>
    <row r="309" spans="2:3" ht="14.25" customHeight="1" x14ac:dyDescent="0.2">
      <c r="B309" s="207" t="str">
        <f>Amortization!B284</f>
        <v/>
      </c>
      <c r="C309" s="12" t="str">
        <f>IF(B309&lt;=$D$10,0,Amortization!L284)</f>
        <v/>
      </c>
    </row>
    <row r="310" spans="2:3" ht="14.25" customHeight="1" x14ac:dyDescent="0.2">
      <c r="B310" s="207" t="str">
        <f>Amortization!B285</f>
        <v/>
      </c>
      <c r="C310" s="12" t="str">
        <f>IF(B310&lt;=$D$10,0,Amortization!L285)</f>
        <v/>
      </c>
    </row>
    <row r="311" spans="2:3" ht="14.25" customHeight="1" x14ac:dyDescent="0.2">
      <c r="B311" s="207" t="str">
        <f>Amortization!B286</f>
        <v/>
      </c>
      <c r="C311" s="12" t="str">
        <f>IF(B311&lt;=$D$10,0,Amortization!L286)</f>
        <v/>
      </c>
    </row>
    <row r="312" spans="2:3" ht="14.25" customHeight="1" x14ac:dyDescent="0.2">
      <c r="B312" s="207" t="str">
        <f>Amortization!B287</f>
        <v/>
      </c>
      <c r="C312" s="12" t="str">
        <f>IF(B312&lt;=$D$10,0,Amortization!L287)</f>
        <v/>
      </c>
    </row>
    <row r="313" spans="2:3" ht="14.25" customHeight="1" x14ac:dyDescent="0.2">
      <c r="B313" s="207" t="str">
        <f>Amortization!B288</f>
        <v/>
      </c>
      <c r="C313" s="12" t="str">
        <f>IF(B313&lt;=$D$10,0,Amortization!L288)</f>
        <v/>
      </c>
    </row>
    <row r="314" spans="2:3" ht="14.25" customHeight="1" x14ac:dyDescent="0.2">
      <c r="B314" s="207" t="str">
        <f>Amortization!B289</f>
        <v/>
      </c>
      <c r="C314" s="12" t="str">
        <f>IF(B314&lt;=$D$10,0,Amortization!L289)</f>
        <v/>
      </c>
    </row>
    <row r="315" spans="2:3" ht="14.25" customHeight="1" x14ac:dyDescent="0.2">
      <c r="B315" s="207" t="str">
        <f>Amortization!B290</f>
        <v/>
      </c>
      <c r="C315" s="12" t="str">
        <f>IF(B315&lt;=$D$10,0,Amortization!L290)</f>
        <v/>
      </c>
    </row>
    <row r="316" spans="2:3" ht="14.25" customHeight="1" x14ac:dyDescent="0.2">
      <c r="B316" s="207" t="str">
        <f>Amortization!B291</f>
        <v/>
      </c>
      <c r="C316" s="12" t="str">
        <f>IF(B316&lt;=$D$10,0,Amortization!L291)</f>
        <v/>
      </c>
    </row>
    <row r="317" spans="2:3" ht="14.25" customHeight="1" x14ac:dyDescent="0.2">
      <c r="B317" s="207" t="str">
        <f>Amortization!B292</f>
        <v/>
      </c>
      <c r="C317" s="12" t="str">
        <f>IF(B317&lt;=$D$10,0,Amortization!L292)</f>
        <v/>
      </c>
    </row>
    <row r="318" spans="2:3" ht="14.25" customHeight="1" x14ac:dyDescent="0.2">
      <c r="B318" s="207" t="str">
        <f>Amortization!B293</f>
        <v/>
      </c>
      <c r="C318" s="12" t="str">
        <f>IF(B318&lt;=$D$10,0,Amortization!L293)</f>
        <v/>
      </c>
    </row>
    <row r="319" spans="2:3" ht="14.25" customHeight="1" x14ac:dyDescent="0.2">
      <c r="B319" s="207" t="str">
        <f>Amortization!B294</f>
        <v/>
      </c>
      <c r="C319" s="12" t="str">
        <f>IF(B319&lt;=$D$10,0,Amortization!L294)</f>
        <v/>
      </c>
    </row>
    <row r="320" spans="2:3" ht="14.25" customHeight="1" x14ac:dyDescent="0.2">
      <c r="B320" s="207" t="str">
        <f>Amortization!B295</f>
        <v/>
      </c>
      <c r="C320" s="12" t="str">
        <f>IF(B320&lt;=$D$10,0,Amortization!L295)</f>
        <v/>
      </c>
    </row>
    <row r="321" spans="2:3" ht="14.25" customHeight="1" x14ac:dyDescent="0.2">
      <c r="B321" s="207" t="str">
        <f>Amortization!B296</f>
        <v/>
      </c>
      <c r="C321" s="12" t="str">
        <f>IF(B321&lt;=$D$10,0,Amortization!L296)</f>
        <v/>
      </c>
    </row>
    <row r="322" spans="2:3" ht="14.25" customHeight="1" x14ac:dyDescent="0.2">
      <c r="B322" s="207" t="str">
        <f>Amortization!B297</f>
        <v/>
      </c>
      <c r="C322" s="12" t="str">
        <f>IF(B322&lt;=$D$10,0,Amortization!L297)</f>
        <v/>
      </c>
    </row>
    <row r="323" spans="2:3" ht="14.25" customHeight="1" x14ac:dyDescent="0.2">
      <c r="B323" s="207" t="str">
        <f>Amortization!B298</f>
        <v/>
      </c>
      <c r="C323" s="12" t="str">
        <f>IF(B323&lt;=$D$10,0,Amortization!L298)</f>
        <v/>
      </c>
    </row>
    <row r="324" spans="2:3" ht="14.25" customHeight="1" x14ac:dyDescent="0.2">
      <c r="B324" s="207" t="str">
        <f>Amortization!B299</f>
        <v/>
      </c>
      <c r="C324" s="12" t="str">
        <f>IF(B324&lt;=$D$10,0,Amortization!L299)</f>
        <v/>
      </c>
    </row>
    <row r="325" spans="2:3" ht="14.25" customHeight="1" x14ac:dyDescent="0.2">
      <c r="B325" s="207" t="str">
        <f>Amortization!B300</f>
        <v/>
      </c>
      <c r="C325" s="12" t="str">
        <f>IF(B325&lt;=$D$10,0,Amortization!L300)</f>
        <v/>
      </c>
    </row>
    <row r="326" spans="2:3" ht="14.25" customHeight="1" x14ac:dyDescent="0.2">
      <c r="B326" s="207" t="str">
        <f>Amortization!B301</f>
        <v/>
      </c>
      <c r="C326" s="12" t="str">
        <f>IF(B326&lt;=$D$10,0,Amortization!L301)</f>
        <v/>
      </c>
    </row>
    <row r="327" spans="2:3" ht="14.25" customHeight="1" x14ac:dyDescent="0.2">
      <c r="B327" s="207" t="str">
        <f>Amortization!B302</f>
        <v/>
      </c>
      <c r="C327" s="12" t="str">
        <f>IF(B327&lt;=$D$10,0,Amortization!L302)</f>
        <v/>
      </c>
    </row>
    <row r="328" spans="2:3" ht="14.25" customHeight="1" x14ac:dyDescent="0.2">
      <c r="B328" s="207" t="str">
        <f>Amortization!B303</f>
        <v/>
      </c>
      <c r="C328" s="12" t="str">
        <f>IF(B328&lt;=$D$10,0,Amortization!L303)</f>
        <v/>
      </c>
    </row>
    <row r="329" spans="2:3" ht="14.25" customHeight="1" x14ac:dyDescent="0.2">
      <c r="B329" s="207" t="str">
        <f>Amortization!B304</f>
        <v/>
      </c>
      <c r="C329" s="12" t="str">
        <f>IF(B329&lt;=$D$10,0,Amortization!L304)</f>
        <v/>
      </c>
    </row>
    <row r="330" spans="2:3" ht="14.25" customHeight="1" x14ac:dyDescent="0.2">
      <c r="B330" s="207" t="str">
        <f>Amortization!B305</f>
        <v/>
      </c>
      <c r="C330" s="12" t="str">
        <f>IF(B330&lt;=$D$10,0,Amortization!L305)</f>
        <v/>
      </c>
    </row>
    <row r="331" spans="2:3" ht="14.25" customHeight="1" x14ac:dyDescent="0.2">
      <c r="B331" s="207" t="str">
        <f>Amortization!B306</f>
        <v/>
      </c>
      <c r="C331" s="12" t="str">
        <f>IF(B331&lt;=$D$10,0,Amortization!L306)</f>
        <v/>
      </c>
    </row>
    <row r="332" spans="2:3" ht="14.25" customHeight="1" x14ac:dyDescent="0.2">
      <c r="B332" s="207" t="str">
        <f>Amortization!B307</f>
        <v/>
      </c>
      <c r="C332" s="12" t="str">
        <f>IF(B332&lt;=$D$10,0,Amortization!L307)</f>
        <v/>
      </c>
    </row>
    <row r="333" spans="2:3" ht="14.25" customHeight="1" x14ac:dyDescent="0.2">
      <c r="B333" s="207" t="str">
        <f>Amortization!B308</f>
        <v/>
      </c>
      <c r="C333" s="12" t="str">
        <f>IF(B333&lt;=$D$10,0,Amortization!L308)</f>
        <v/>
      </c>
    </row>
    <row r="334" spans="2:3" ht="14.25" customHeight="1" x14ac:dyDescent="0.2">
      <c r="B334" s="207" t="str">
        <f>Amortization!B309</f>
        <v/>
      </c>
      <c r="C334" s="12" t="str">
        <f>IF(B334&lt;=$D$10,0,Amortization!L309)</f>
        <v/>
      </c>
    </row>
    <row r="335" spans="2:3" ht="14.25" customHeight="1" x14ac:dyDescent="0.2">
      <c r="B335" s="207" t="str">
        <f>Amortization!B310</f>
        <v/>
      </c>
      <c r="C335" s="12" t="str">
        <f>IF(B335&lt;=$D$10,0,Amortization!L310)</f>
        <v/>
      </c>
    </row>
    <row r="336" spans="2:3" ht="14.25" customHeight="1" x14ac:dyDescent="0.2">
      <c r="B336" s="207" t="str">
        <f>Amortization!B311</f>
        <v/>
      </c>
      <c r="C336" s="12" t="str">
        <f>IF(B336&lt;=$D$10,0,Amortization!L311)</f>
        <v/>
      </c>
    </row>
    <row r="337" spans="2:3" ht="14.25" customHeight="1" x14ac:dyDescent="0.2">
      <c r="B337" s="207" t="str">
        <f>Amortization!B312</f>
        <v/>
      </c>
      <c r="C337" s="12" t="str">
        <f>IF(B337&lt;=$D$10,0,Amortization!L312)</f>
        <v/>
      </c>
    </row>
    <row r="338" spans="2:3" ht="14.25" customHeight="1" x14ac:dyDescent="0.2">
      <c r="B338" s="207" t="str">
        <f>Amortization!B313</f>
        <v/>
      </c>
      <c r="C338" s="12" t="str">
        <f>IF(B338&lt;=$D$10,0,Amortization!L313)</f>
        <v/>
      </c>
    </row>
    <row r="339" spans="2:3" ht="14.25" customHeight="1" x14ac:dyDescent="0.2">
      <c r="B339" s="207" t="str">
        <f>Amortization!B314</f>
        <v/>
      </c>
      <c r="C339" s="12" t="str">
        <f>IF(B339&lt;=$D$10,0,Amortization!L314)</f>
        <v/>
      </c>
    </row>
    <row r="340" spans="2:3" ht="14.25" customHeight="1" x14ac:dyDescent="0.2">
      <c r="B340" s="207" t="str">
        <f>Amortization!B315</f>
        <v/>
      </c>
      <c r="C340" s="12" t="str">
        <f>IF(B340&lt;=$D$10,0,Amortization!L315)</f>
        <v/>
      </c>
    </row>
    <row r="341" spans="2:3" ht="14.25" customHeight="1" x14ac:dyDescent="0.2">
      <c r="B341" s="207" t="str">
        <f>Amortization!B316</f>
        <v/>
      </c>
      <c r="C341" s="12" t="str">
        <f>IF(B341&lt;=$D$10,0,Amortization!L316)</f>
        <v/>
      </c>
    </row>
    <row r="342" spans="2:3" ht="14.25" customHeight="1" x14ac:dyDescent="0.2">
      <c r="B342" s="207" t="str">
        <f>Amortization!B317</f>
        <v/>
      </c>
      <c r="C342" s="12" t="str">
        <f>IF(B342&lt;=$D$10,0,Amortization!L317)</f>
        <v/>
      </c>
    </row>
    <row r="343" spans="2:3" ht="14.25" customHeight="1" x14ac:dyDescent="0.2">
      <c r="B343" s="207" t="str">
        <f>Amortization!B318</f>
        <v/>
      </c>
      <c r="C343" s="12" t="str">
        <f>IF(B343&lt;=$D$10,0,Amortization!L318)</f>
        <v/>
      </c>
    </row>
    <row r="344" spans="2:3" ht="14.25" customHeight="1" x14ac:dyDescent="0.2">
      <c r="B344" s="207" t="str">
        <f>Amortization!B319</f>
        <v/>
      </c>
      <c r="C344" s="12" t="str">
        <f>IF(B344&lt;=$D$10,0,Amortization!L319)</f>
        <v/>
      </c>
    </row>
    <row r="345" spans="2:3" ht="14.25" customHeight="1" x14ac:dyDescent="0.2">
      <c r="B345" s="207" t="str">
        <f>Amortization!B320</f>
        <v/>
      </c>
      <c r="C345" s="12" t="str">
        <f>IF(B345&lt;=$D$10,0,Amortization!L320)</f>
        <v/>
      </c>
    </row>
    <row r="346" spans="2:3" ht="14.25" customHeight="1" x14ac:dyDescent="0.2">
      <c r="B346" s="207" t="str">
        <f>Amortization!B321</f>
        <v/>
      </c>
      <c r="C346" s="12" t="str">
        <f>IF(B346&lt;=$D$10,0,Amortization!L321)</f>
        <v/>
      </c>
    </row>
    <row r="347" spans="2:3" ht="14.25" customHeight="1" x14ac:dyDescent="0.2">
      <c r="B347" s="207" t="str">
        <f>Amortization!B322</f>
        <v/>
      </c>
      <c r="C347" s="12" t="str">
        <f>IF(B347&lt;=$D$10,0,Amortization!L322)</f>
        <v/>
      </c>
    </row>
    <row r="348" spans="2:3" ht="14.25" customHeight="1" x14ac:dyDescent="0.2">
      <c r="B348" s="207" t="str">
        <f>Amortization!B323</f>
        <v/>
      </c>
      <c r="C348" s="12" t="str">
        <f>IF(B348&lt;=$D$10,0,Amortization!L323)</f>
        <v/>
      </c>
    </row>
    <row r="349" spans="2:3" ht="14.25" customHeight="1" x14ac:dyDescent="0.2">
      <c r="B349" s="207" t="str">
        <f>Amortization!B324</f>
        <v/>
      </c>
      <c r="C349" s="12" t="str">
        <f>IF(B349&lt;=$D$10,0,Amortization!L324)</f>
        <v/>
      </c>
    </row>
    <row r="350" spans="2:3" ht="14.25" customHeight="1" x14ac:dyDescent="0.2">
      <c r="B350" s="207" t="str">
        <f>Amortization!B325</f>
        <v/>
      </c>
      <c r="C350" s="12" t="str">
        <f>IF(B350&lt;=$D$10,0,Amortization!L325)</f>
        <v/>
      </c>
    </row>
    <row r="351" spans="2:3" ht="14.25" customHeight="1" x14ac:dyDescent="0.2">
      <c r="B351" s="207" t="str">
        <f>Amortization!B326</f>
        <v/>
      </c>
      <c r="C351" s="12" t="str">
        <f>IF(B351&lt;=$D$10,0,Amortization!L326)</f>
        <v/>
      </c>
    </row>
    <row r="352" spans="2:3" ht="14.25" customHeight="1" x14ac:dyDescent="0.2">
      <c r="B352" s="207" t="str">
        <f>Amortization!B327</f>
        <v/>
      </c>
      <c r="C352" s="12" t="str">
        <f>IF(B352&lt;=$D$10,0,Amortization!L327)</f>
        <v/>
      </c>
    </row>
    <row r="353" spans="2:3" ht="14.25" customHeight="1" x14ac:dyDescent="0.2">
      <c r="B353" s="207" t="str">
        <f>Amortization!B328</f>
        <v/>
      </c>
      <c r="C353" s="12" t="str">
        <f>IF(B353&lt;=$D$10,0,Amortization!L328)</f>
        <v/>
      </c>
    </row>
    <row r="354" spans="2:3" ht="14.25" customHeight="1" x14ac:dyDescent="0.2">
      <c r="B354" s="207" t="str">
        <f>Amortization!B329</f>
        <v/>
      </c>
      <c r="C354" s="12" t="str">
        <f>IF(B354&lt;=$D$10,0,Amortization!L329)</f>
        <v/>
      </c>
    </row>
    <row r="355" spans="2:3" ht="14.25" customHeight="1" x14ac:dyDescent="0.2">
      <c r="B355" s="207" t="str">
        <f>Amortization!B330</f>
        <v/>
      </c>
      <c r="C355" s="12" t="str">
        <f>IF(B355&lt;=$D$10,0,Amortization!L330)</f>
        <v/>
      </c>
    </row>
    <row r="356" spans="2:3" ht="14.25" customHeight="1" x14ac:dyDescent="0.2">
      <c r="B356" s="207" t="str">
        <f>Amortization!B331</f>
        <v/>
      </c>
      <c r="C356" s="12" t="str">
        <f>IF(B356&lt;=$D$10,0,Amortization!L331)</f>
        <v/>
      </c>
    </row>
    <row r="357" spans="2:3" ht="14.25" customHeight="1" x14ac:dyDescent="0.2">
      <c r="B357" s="207" t="str">
        <f>Amortization!B332</f>
        <v/>
      </c>
      <c r="C357" s="12" t="str">
        <f>IF(B357&lt;=$D$10,0,Amortization!L332)</f>
        <v/>
      </c>
    </row>
    <row r="358" spans="2:3" ht="14.25" customHeight="1" x14ac:dyDescent="0.2">
      <c r="B358" s="207" t="str">
        <f>Amortization!B333</f>
        <v/>
      </c>
      <c r="C358" s="12" t="str">
        <f>IF(B358&lt;=$D$10,0,Amortization!L333)</f>
        <v/>
      </c>
    </row>
    <row r="359" spans="2:3" ht="14.25" customHeight="1" x14ac:dyDescent="0.2">
      <c r="B359" s="207" t="str">
        <f>Amortization!B334</f>
        <v/>
      </c>
      <c r="C359" s="12" t="str">
        <f>IF(B359&lt;=$D$10,0,Amortization!L334)</f>
        <v/>
      </c>
    </row>
    <row r="360" spans="2:3" ht="14.25" customHeight="1" x14ac:dyDescent="0.2">
      <c r="B360" s="207" t="str">
        <f>Amortization!B335</f>
        <v/>
      </c>
      <c r="C360" s="12" t="str">
        <f>IF(B360&lt;=$D$10,0,Amortization!L335)</f>
        <v/>
      </c>
    </row>
    <row r="361" spans="2:3" ht="14.25" customHeight="1" x14ac:dyDescent="0.2">
      <c r="B361" s="207" t="str">
        <f>Amortization!B336</f>
        <v/>
      </c>
      <c r="C361" s="12" t="str">
        <f>IF(B361&lt;=$D$10,0,Amortization!L336)</f>
        <v/>
      </c>
    </row>
    <row r="362" spans="2:3" ht="14.25" customHeight="1" x14ac:dyDescent="0.2">
      <c r="B362" s="207" t="str">
        <f>Amortization!B337</f>
        <v/>
      </c>
      <c r="C362" s="12" t="str">
        <f>IF(B362&lt;=$D$10,0,Amortization!L337)</f>
        <v/>
      </c>
    </row>
    <row r="363" spans="2:3" ht="14.25" customHeight="1" x14ac:dyDescent="0.2">
      <c r="B363" s="207" t="str">
        <f>Amortization!B338</f>
        <v/>
      </c>
      <c r="C363" s="12" t="str">
        <f>IF(B363&lt;=$D$10,0,Amortization!L338)</f>
        <v/>
      </c>
    </row>
    <row r="364" spans="2:3" ht="14.25" customHeight="1" x14ac:dyDescent="0.2">
      <c r="B364" s="207" t="str">
        <f>Amortization!B339</f>
        <v/>
      </c>
      <c r="C364" s="12" t="str">
        <f>IF(B364&lt;=$D$10,0,Amortization!L339)</f>
        <v/>
      </c>
    </row>
    <row r="365" spans="2:3" ht="14.25" customHeight="1" x14ac:dyDescent="0.2">
      <c r="B365" s="207" t="str">
        <f>Amortization!B340</f>
        <v/>
      </c>
      <c r="C365" s="12" t="str">
        <f>IF(B365&lt;=$D$10,0,Amortization!L340)</f>
        <v/>
      </c>
    </row>
    <row r="366" spans="2:3" ht="14.25" customHeight="1" x14ac:dyDescent="0.2">
      <c r="B366" s="207" t="str">
        <f>Amortization!B341</f>
        <v/>
      </c>
      <c r="C366" s="12" t="str">
        <f>IF(B366&lt;=$D$10,0,Amortization!L341)</f>
        <v/>
      </c>
    </row>
    <row r="367" spans="2:3" ht="14.25" customHeight="1" x14ac:dyDescent="0.2">
      <c r="B367" s="207" t="str">
        <f>Amortization!B342</f>
        <v/>
      </c>
      <c r="C367" s="12" t="str">
        <f>IF(B367&lt;=$D$10,0,Amortization!L342)</f>
        <v/>
      </c>
    </row>
    <row r="368" spans="2:3" ht="14.25" customHeight="1" x14ac:dyDescent="0.2">
      <c r="B368" s="207" t="str">
        <f>Amortization!B343</f>
        <v/>
      </c>
      <c r="C368" s="12" t="str">
        <f>IF(B368&lt;=$D$10,0,Amortization!L343)</f>
        <v/>
      </c>
    </row>
    <row r="369" spans="2:3" ht="14.25" customHeight="1" x14ac:dyDescent="0.2">
      <c r="B369" s="207" t="str">
        <f>Amortization!B344</f>
        <v/>
      </c>
      <c r="C369" s="12" t="str">
        <f>IF(B369&lt;=$D$10,0,Amortization!L344)</f>
        <v/>
      </c>
    </row>
    <row r="370" spans="2:3" ht="14.25" customHeight="1" x14ac:dyDescent="0.2">
      <c r="B370" s="207" t="str">
        <f>Amortization!B345</f>
        <v/>
      </c>
      <c r="C370" s="12" t="str">
        <f>IF(B370&lt;=$D$10,0,Amortization!L345)</f>
        <v/>
      </c>
    </row>
    <row r="371" spans="2:3" ht="14.25" customHeight="1" x14ac:dyDescent="0.2">
      <c r="B371" s="207" t="str">
        <f>Amortization!B346</f>
        <v/>
      </c>
      <c r="C371" s="12" t="str">
        <f>IF(B371&lt;=$D$10,0,Amortization!L346)</f>
        <v/>
      </c>
    </row>
    <row r="372" spans="2:3" ht="14.25" customHeight="1" x14ac:dyDescent="0.2">
      <c r="B372" s="207" t="str">
        <f>Amortization!B347</f>
        <v/>
      </c>
      <c r="C372" s="12" t="str">
        <f>IF(B372&lt;=$D$10,0,Amortization!L347)</f>
        <v/>
      </c>
    </row>
    <row r="373" spans="2:3" ht="14.25" customHeight="1" x14ac:dyDescent="0.2">
      <c r="B373" s="207" t="str">
        <f>Amortization!B348</f>
        <v/>
      </c>
      <c r="C373" s="12" t="str">
        <f>IF(B373&lt;=$D$10,0,Amortization!L348)</f>
        <v/>
      </c>
    </row>
    <row r="374" spans="2:3" ht="14.25" customHeight="1" x14ac:dyDescent="0.2">
      <c r="B374" s="207" t="str">
        <f>Amortization!B349</f>
        <v/>
      </c>
      <c r="C374" s="12" t="str">
        <f>IF(B374&lt;=$D$10,0,Amortization!L349)</f>
        <v/>
      </c>
    </row>
    <row r="375" spans="2:3" ht="14.25" customHeight="1" x14ac:dyDescent="0.2">
      <c r="B375" s="207" t="str">
        <f>Amortization!B350</f>
        <v/>
      </c>
      <c r="C375" s="12" t="str">
        <f>IF(B375&lt;=$D$10,0,Amortization!L350)</f>
        <v/>
      </c>
    </row>
    <row r="376" spans="2:3" ht="14.25" customHeight="1" x14ac:dyDescent="0.2">
      <c r="B376" s="207" t="str">
        <f>Amortization!B351</f>
        <v/>
      </c>
      <c r="C376" s="12" t="str">
        <f>IF(B376&lt;=$D$10,0,Amortization!L351)</f>
        <v/>
      </c>
    </row>
    <row r="377" spans="2:3" ht="14.25" customHeight="1" x14ac:dyDescent="0.2">
      <c r="B377" s="207" t="str">
        <f>Amortization!B352</f>
        <v/>
      </c>
      <c r="C377" s="12" t="str">
        <f>IF(B377&lt;=$D$10,0,Amortization!L352)</f>
        <v/>
      </c>
    </row>
    <row r="378" spans="2:3" ht="14.25" customHeight="1" x14ac:dyDescent="0.2">
      <c r="B378" s="207" t="str">
        <f>Amortization!B353</f>
        <v/>
      </c>
      <c r="C378" s="12" t="str">
        <f>IF(B378&lt;=$D$10,0,Amortization!L353)</f>
        <v/>
      </c>
    </row>
    <row r="379" spans="2:3" ht="14.25" customHeight="1" x14ac:dyDescent="0.2">
      <c r="B379" s="207" t="str">
        <f>Amortization!B354</f>
        <v/>
      </c>
      <c r="C379" s="12" t="str">
        <f>IF(B379&lt;=$D$10,0,Amortization!L354)</f>
        <v/>
      </c>
    </row>
    <row r="380" spans="2:3" ht="14.25" customHeight="1" x14ac:dyDescent="0.2">
      <c r="B380" s="207" t="str">
        <f>Amortization!B355</f>
        <v/>
      </c>
      <c r="C380" s="12" t="str">
        <f>IF(B380&lt;=$D$10,0,Amortization!L355)</f>
        <v/>
      </c>
    </row>
    <row r="381" spans="2:3" ht="14.25" customHeight="1" x14ac:dyDescent="0.2">
      <c r="B381" s="207" t="str">
        <f>Amortization!B356</f>
        <v/>
      </c>
      <c r="C381" s="12" t="str">
        <f>IF(B381&lt;=$D$10,0,Amortization!L356)</f>
        <v/>
      </c>
    </row>
    <row r="382" spans="2:3" ht="14.25" customHeight="1" x14ac:dyDescent="0.2">
      <c r="B382" s="207" t="str">
        <f>Amortization!B357</f>
        <v/>
      </c>
      <c r="C382" s="12" t="str">
        <f>IF(B382&lt;=$D$10,0,Amortization!L357)</f>
        <v/>
      </c>
    </row>
    <row r="383" spans="2:3" ht="14.25" customHeight="1" x14ac:dyDescent="0.2">
      <c r="B383" s="207" t="str">
        <f>Amortization!B358</f>
        <v/>
      </c>
      <c r="C383" s="12" t="str">
        <f>IF(B383&lt;=$D$10,0,Amortization!L358)</f>
        <v/>
      </c>
    </row>
    <row r="384" spans="2:3" ht="14.25" customHeight="1" x14ac:dyDescent="0.2">
      <c r="B384" s="207" t="str">
        <f>Amortization!B359</f>
        <v/>
      </c>
      <c r="C384" s="12" t="str">
        <f>IF(B384&lt;=$D$10,0,Amortization!L359)</f>
        <v/>
      </c>
    </row>
    <row r="385" spans="2:3" ht="14.25" customHeight="1" x14ac:dyDescent="0.2">
      <c r="B385" s="207" t="str">
        <f>Amortization!B360</f>
        <v/>
      </c>
      <c r="C385" s="12" t="str">
        <f>IF(B385&lt;=$D$10,0,Amortization!L360)</f>
        <v/>
      </c>
    </row>
    <row r="386" spans="2:3" ht="14.25" customHeight="1" x14ac:dyDescent="0.2">
      <c r="B386" s="207" t="str">
        <f>Amortization!B361</f>
        <v/>
      </c>
      <c r="C386" s="12" t="str">
        <f>IF(B386&lt;=$D$10,0,Amortization!L361)</f>
        <v/>
      </c>
    </row>
    <row r="387" spans="2:3" ht="14.25" customHeight="1" x14ac:dyDescent="0.2">
      <c r="B387" s="207" t="str">
        <f>Amortization!B362</f>
        <v/>
      </c>
      <c r="C387" s="12" t="str">
        <f>IF(B387&lt;=$D$10,0,Amortization!L362)</f>
        <v/>
      </c>
    </row>
    <row r="388" spans="2:3" ht="14.25" customHeight="1" x14ac:dyDescent="0.2">
      <c r="B388" s="207" t="str">
        <f>Amortization!B363</f>
        <v/>
      </c>
      <c r="C388" s="12" t="str">
        <f>IF(B388&lt;=$D$10,0,Amortization!L363)</f>
        <v/>
      </c>
    </row>
    <row r="389" spans="2:3" ht="14.25" customHeight="1" x14ac:dyDescent="0.2">
      <c r="B389" s="207" t="str">
        <f>Amortization!B364</f>
        <v/>
      </c>
      <c r="C389" s="12" t="str">
        <f>IF(B389&lt;=$D$10,0,Amortization!L364)</f>
        <v/>
      </c>
    </row>
    <row r="390" spans="2:3" ht="14.25" customHeight="1" x14ac:dyDescent="0.2">
      <c r="B390" s="207" t="str">
        <f>Amortization!B365</f>
        <v/>
      </c>
      <c r="C390" s="12" t="str">
        <f>IF(B390&lt;=$D$10,0,Amortization!L365)</f>
        <v/>
      </c>
    </row>
    <row r="391" spans="2:3" ht="14.25" customHeight="1" x14ac:dyDescent="0.2">
      <c r="B391" s="207" t="str">
        <f>Amortization!B366</f>
        <v/>
      </c>
      <c r="C391" s="12" t="str">
        <f>IF(B391&lt;=$D$10,0,Amortization!L366)</f>
        <v/>
      </c>
    </row>
    <row r="392" spans="2:3" ht="14.25" customHeight="1" x14ac:dyDescent="0.2">
      <c r="B392" s="207" t="str">
        <f>Amortization!B367</f>
        <v/>
      </c>
      <c r="C392" s="12" t="str">
        <f>IF(B392&lt;=$D$10,0,Amortization!L367)</f>
        <v/>
      </c>
    </row>
    <row r="393" spans="2:3" ht="14.25" customHeight="1" x14ac:dyDescent="0.2">
      <c r="B393" s="207" t="str">
        <f>Amortization!B368</f>
        <v/>
      </c>
      <c r="C393" s="12" t="str">
        <f>IF(B393&lt;=$D$10,0,Amortization!L368)</f>
        <v/>
      </c>
    </row>
    <row r="394" spans="2:3" ht="14.25" customHeight="1" x14ac:dyDescent="0.2">
      <c r="B394" s="207" t="str">
        <f>Amortization!B369</f>
        <v/>
      </c>
      <c r="C394" s="12" t="str">
        <f>IF(B394&lt;=$D$10,0,Amortization!L369)</f>
        <v/>
      </c>
    </row>
    <row r="395" spans="2:3" ht="14.25" customHeight="1" x14ac:dyDescent="0.2">
      <c r="B395" s="207" t="str">
        <f>Amortization!B370</f>
        <v/>
      </c>
      <c r="C395" s="12" t="str">
        <f>IF(B395&lt;=$D$10,0,Amortization!L370)</f>
        <v/>
      </c>
    </row>
    <row r="396" spans="2:3" ht="14.25" customHeight="1" x14ac:dyDescent="0.2">
      <c r="B396" s="207" t="str">
        <f>Amortization!B371</f>
        <v/>
      </c>
      <c r="C396" s="12" t="str">
        <f>IF(B396&lt;=$D$10,0,Amortization!L371)</f>
        <v/>
      </c>
    </row>
    <row r="397" spans="2:3" ht="14.25" customHeight="1" x14ac:dyDescent="0.2">
      <c r="B397" s="207" t="str">
        <f>Amortization!B372</f>
        <v/>
      </c>
      <c r="C397" s="12" t="str">
        <f>IF(B397&lt;=$D$10,0,Amortization!L372)</f>
        <v/>
      </c>
    </row>
    <row r="398" spans="2:3" ht="14.25" customHeight="1" x14ac:dyDescent="0.2">
      <c r="B398" s="207" t="str">
        <f>Amortization!B373</f>
        <v/>
      </c>
      <c r="C398" s="12" t="str">
        <f>IF(B398&lt;=$D$10,0,Amortization!L373)</f>
        <v/>
      </c>
    </row>
    <row r="399" spans="2:3" ht="14.25" customHeight="1" x14ac:dyDescent="0.2">
      <c r="B399" s="207" t="str">
        <f>Amortization!B374</f>
        <v/>
      </c>
      <c r="C399" s="12" t="str">
        <f>IF(B399&lt;=$D$10,0,Amortization!L374)</f>
        <v/>
      </c>
    </row>
    <row r="400" spans="2:3" ht="14.25" customHeight="1" x14ac:dyDescent="0.2">
      <c r="B400" s="207" t="str">
        <f>Amortization!B375</f>
        <v/>
      </c>
      <c r="C400" s="12" t="str">
        <f>IF(B400&lt;=$D$10,0,Amortization!L375)</f>
        <v/>
      </c>
    </row>
    <row r="401" spans="2:3" ht="14.25" customHeight="1" x14ac:dyDescent="0.2">
      <c r="B401" s="207" t="str">
        <f>Amortization!B376</f>
        <v/>
      </c>
      <c r="C401" s="12" t="str">
        <f>IF(B401&lt;=$D$10,0,Amortization!L376)</f>
        <v/>
      </c>
    </row>
    <row r="402" spans="2:3" ht="14.25" customHeight="1" x14ac:dyDescent="0.2">
      <c r="B402" s="207" t="str">
        <f>Amortization!B377</f>
        <v/>
      </c>
      <c r="C402" s="12" t="str">
        <f>IF(B402&lt;=$D$10,0,Amortization!L377)</f>
        <v/>
      </c>
    </row>
    <row r="403" spans="2:3" ht="14.25" customHeight="1" x14ac:dyDescent="0.2">
      <c r="B403" s="207" t="str">
        <f>Amortization!B378</f>
        <v/>
      </c>
      <c r="C403" s="12" t="str">
        <f>IF(B403&lt;=$D$10,0,Amortization!L378)</f>
        <v/>
      </c>
    </row>
    <row r="404" spans="2:3" ht="14.25" customHeight="1" x14ac:dyDescent="0.2">
      <c r="B404" s="207" t="str">
        <f>Amortization!B379</f>
        <v/>
      </c>
      <c r="C404" s="12" t="str">
        <f>IF(B404&lt;=$D$10,0,Amortization!L379)</f>
        <v/>
      </c>
    </row>
    <row r="405" spans="2:3" ht="14.25" customHeight="1" x14ac:dyDescent="0.2">
      <c r="B405" s="207" t="str">
        <f>Amortization!B380</f>
        <v/>
      </c>
      <c r="C405" s="12" t="str">
        <f>IF(B405&lt;=$D$10,0,Amortization!L380)</f>
        <v/>
      </c>
    </row>
    <row r="406" spans="2:3" ht="14.25" customHeight="1" x14ac:dyDescent="0.2">
      <c r="B406" s="207" t="str">
        <f>Amortization!B381</f>
        <v/>
      </c>
      <c r="C406" s="12" t="str">
        <f>IF(B406&lt;=$D$10,0,Amortization!L381)</f>
        <v/>
      </c>
    </row>
    <row r="407" spans="2:3" ht="14.25" customHeight="1" x14ac:dyDescent="0.2">
      <c r="B407" s="207" t="str">
        <f>Amortization!B382</f>
        <v/>
      </c>
      <c r="C407" s="12" t="str">
        <f>IF(B407&lt;=$D$10,0,Amortization!L382)</f>
        <v/>
      </c>
    </row>
    <row r="408" spans="2:3" ht="14.25" customHeight="1" x14ac:dyDescent="0.2">
      <c r="B408" s="207" t="str">
        <f>Amortization!B383</f>
        <v/>
      </c>
      <c r="C408" s="12" t="str">
        <f>IF(B408&lt;=$D$10,0,Amortization!L383)</f>
        <v/>
      </c>
    </row>
    <row r="409" spans="2:3" ht="14.25" customHeight="1" x14ac:dyDescent="0.2">
      <c r="B409" s="207" t="str">
        <f>Amortization!B384</f>
        <v/>
      </c>
      <c r="C409" s="12" t="str">
        <f>IF(B409&lt;=$D$10,0,Amortization!L384)</f>
        <v/>
      </c>
    </row>
    <row r="410" spans="2:3" ht="14.25" customHeight="1" x14ac:dyDescent="0.2">
      <c r="B410" s="207" t="str">
        <f>Amortization!B385</f>
        <v/>
      </c>
      <c r="C410" s="12" t="str">
        <f>IF(B410&lt;=$D$10,0,Amortization!L385)</f>
        <v/>
      </c>
    </row>
    <row r="411" spans="2:3" ht="14.25" customHeight="1" x14ac:dyDescent="0.2">
      <c r="B411" s="207" t="str">
        <f>Amortization!B386</f>
        <v/>
      </c>
      <c r="C411" s="12" t="str">
        <f>IF(B411&lt;=$D$10,0,Amortization!L386)</f>
        <v/>
      </c>
    </row>
    <row r="412" spans="2:3" ht="14.25" customHeight="1" x14ac:dyDescent="0.2">
      <c r="B412" s="207" t="str">
        <f>Amortization!B387</f>
        <v/>
      </c>
      <c r="C412" s="12" t="str">
        <f>IF(B412&lt;=$D$10,0,Amortization!L387)</f>
        <v/>
      </c>
    </row>
    <row r="413" spans="2:3" ht="14.25" customHeight="1" x14ac:dyDescent="0.2">
      <c r="B413" s="207" t="str">
        <f>Amortization!B388</f>
        <v/>
      </c>
      <c r="C413" s="12" t="str">
        <f>IF(B413&lt;=$D$10,0,Amortization!L388)</f>
        <v/>
      </c>
    </row>
    <row r="414" spans="2:3" ht="14.25" customHeight="1" x14ac:dyDescent="0.2">
      <c r="B414" s="207" t="str">
        <f>Amortization!B389</f>
        <v/>
      </c>
      <c r="C414" s="12" t="str">
        <f>IF(B414&lt;=$D$10,0,Amortization!L389)</f>
        <v/>
      </c>
    </row>
    <row r="415" spans="2:3" ht="14.25" customHeight="1" x14ac:dyDescent="0.2">
      <c r="B415" s="207" t="str">
        <f>Amortization!B390</f>
        <v/>
      </c>
      <c r="C415" s="12" t="str">
        <f>IF(B415&lt;=$D$10,0,Amortization!L390)</f>
        <v/>
      </c>
    </row>
    <row r="416" spans="2:3" ht="14.25" customHeight="1" x14ac:dyDescent="0.2">
      <c r="B416" s="207" t="str">
        <f>Amortization!B391</f>
        <v/>
      </c>
      <c r="C416" s="12" t="str">
        <f>IF(B416&lt;=$D$10,0,Amortization!L391)</f>
        <v/>
      </c>
    </row>
    <row r="417" spans="2:3" ht="14.25" customHeight="1" x14ac:dyDescent="0.2">
      <c r="B417" s="207" t="str">
        <f>Amortization!B392</f>
        <v/>
      </c>
      <c r="C417" s="12" t="str">
        <f>IF(B417&lt;=$D$10,0,Amortization!L392)</f>
        <v/>
      </c>
    </row>
    <row r="418" spans="2:3" ht="14.25" customHeight="1" x14ac:dyDescent="0.2">
      <c r="B418" s="207" t="str">
        <f>Amortization!B393</f>
        <v/>
      </c>
      <c r="C418" s="12" t="str">
        <f>IF(B418&lt;=$D$10,0,Amortization!L393)</f>
        <v/>
      </c>
    </row>
    <row r="419" spans="2:3" ht="14.25" customHeight="1" x14ac:dyDescent="0.2">
      <c r="B419" s="207" t="str">
        <f>Amortization!B394</f>
        <v/>
      </c>
      <c r="C419" s="12" t="str">
        <f>IF(B419&lt;=$D$10,0,Amortization!L394)</f>
        <v/>
      </c>
    </row>
    <row r="420" spans="2:3" ht="14.25" customHeight="1" x14ac:dyDescent="0.2">
      <c r="B420" s="207" t="str">
        <f>Amortization!B395</f>
        <v/>
      </c>
      <c r="C420" s="12" t="str">
        <f>IF(B420&lt;=$D$10,0,Amortization!L395)</f>
        <v/>
      </c>
    </row>
    <row r="421" spans="2:3" ht="14.25" customHeight="1" x14ac:dyDescent="0.2">
      <c r="B421" s="207" t="str">
        <f>Amortization!B396</f>
        <v/>
      </c>
      <c r="C421" s="12" t="str">
        <f>IF(B421&lt;=$D$10,0,Amortization!L396)</f>
        <v/>
      </c>
    </row>
    <row r="422" spans="2:3" ht="14.25" customHeight="1" x14ac:dyDescent="0.2">
      <c r="B422" s="207" t="str">
        <f>Amortization!B397</f>
        <v/>
      </c>
      <c r="C422" s="12" t="str">
        <f>IF(B422&lt;=$D$10,0,Amortization!L397)</f>
        <v/>
      </c>
    </row>
    <row r="423" spans="2:3" ht="14.25" customHeight="1" x14ac:dyDescent="0.2">
      <c r="B423" s="207" t="str">
        <f>Amortization!B398</f>
        <v/>
      </c>
      <c r="C423" s="12" t="str">
        <f>IF(B423&lt;=$D$10,0,Amortization!L398)</f>
        <v/>
      </c>
    </row>
    <row r="424" spans="2:3" ht="14.25" customHeight="1" x14ac:dyDescent="0.2">
      <c r="B424" s="207" t="str">
        <f>Amortization!B399</f>
        <v/>
      </c>
      <c r="C424" s="12" t="str">
        <f>IF(B424&lt;=$D$10,0,Amortization!L399)</f>
        <v/>
      </c>
    </row>
    <row r="425" spans="2:3" ht="14.25" customHeight="1" x14ac:dyDescent="0.2">
      <c r="B425" s="207" t="str">
        <f>Amortization!B400</f>
        <v/>
      </c>
      <c r="C425" s="12" t="str">
        <f>IF(B425&lt;=$D$10,0,Amortization!L400)</f>
        <v/>
      </c>
    </row>
    <row r="426" spans="2:3" ht="14.25" customHeight="1" x14ac:dyDescent="0.2">
      <c r="B426" s="207" t="str">
        <f>Amortization!B401</f>
        <v/>
      </c>
      <c r="C426" s="12" t="str">
        <f>IF(B426&lt;=$D$10,0,Amortization!L401)</f>
        <v/>
      </c>
    </row>
    <row r="427" spans="2:3" ht="14.25" customHeight="1" x14ac:dyDescent="0.2">
      <c r="B427" s="207" t="str">
        <f>Amortization!B402</f>
        <v/>
      </c>
      <c r="C427" s="12" t="str">
        <f>IF(B427&lt;=$D$10,0,Amortization!L402)</f>
        <v/>
      </c>
    </row>
    <row r="428" spans="2:3" ht="14.25" customHeight="1" x14ac:dyDescent="0.2">
      <c r="B428" s="207" t="str">
        <f>Amortization!B403</f>
        <v/>
      </c>
      <c r="C428" s="12" t="str">
        <f>IF(B428&lt;=$D$10,0,Amortization!L403)</f>
        <v/>
      </c>
    </row>
    <row r="429" spans="2:3" ht="14.25" customHeight="1" x14ac:dyDescent="0.2">
      <c r="B429" s="207" t="str">
        <f>Amortization!B404</f>
        <v/>
      </c>
      <c r="C429" s="12" t="str">
        <f>IF(B429&lt;=$D$10,0,Amortization!L404)</f>
        <v/>
      </c>
    </row>
    <row r="430" spans="2:3" ht="14.25" customHeight="1" x14ac:dyDescent="0.2">
      <c r="B430" s="207" t="str">
        <f>Amortization!B405</f>
        <v/>
      </c>
      <c r="C430" s="12" t="str">
        <f>IF(B430&lt;=$D$10,0,Amortization!L405)</f>
        <v/>
      </c>
    </row>
    <row r="431" spans="2:3" ht="14.25" customHeight="1" x14ac:dyDescent="0.2">
      <c r="B431" s="207" t="str">
        <f>Amortization!B406</f>
        <v/>
      </c>
      <c r="C431" s="12" t="str">
        <f>IF(B431&lt;=$D$10,0,Amortization!L406)</f>
        <v/>
      </c>
    </row>
    <row r="432" spans="2:3" ht="14.25" customHeight="1" x14ac:dyDescent="0.2">
      <c r="B432" s="207" t="str">
        <f>Amortization!B407</f>
        <v/>
      </c>
      <c r="C432" s="12" t="str">
        <f>IF(B432&lt;=$D$10,0,Amortization!L407)</f>
        <v/>
      </c>
    </row>
    <row r="433" spans="2:3" ht="14.25" customHeight="1" x14ac:dyDescent="0.2">
      <c r="B433" s="207" t="str">
        <f>Amortization!B408</f>
        <v/>
      </c>
      <c r="C433" s="12" t="str">
        <f>IF(B433&lt;=$D$10,0,Amortization!L408)</f>
        <v/>
      </c>
    </row>
    <row r="434" spans="2:3" ht="14.25" customHeight="1" x14ac:dyDescent="0.2">
      <c r="B434" s="207" t="str">
        <f>Amortization!B409</f>
        <v/>
      </c>
      <c r="C434" s="12" t="str">
        <f>IF(B434&lt;=$D$10,0,Amortization!L409)</f>
        <v/>
      </c>
    </row>
    <row r="435" spans="2:3" ht="14.25" customHeight="1" x14ac:dyDescent="0.2">
      <c r="B435" s="207" t="str">
        <f>Amortization!B410</f>
        <v/>
      </c>
      <c r="C435" s="12" t="str">
        <f>IF(B435&lt;=$D$10,0,Amortization!L410)</f>
        <v/>
      </c>
    </row>
    <row r="436" spans="2:3" ht="14.25" customHeight="1" x14ac:dyDescent="0.2">
      <c r="B436" s="207" t="str">
        <f>Amortization!B411</f>
        <v/>
      </c>
      <c r="C436" s="12" t="str">
        <f>IF(B436&lt;=$D$10,0,Amortization!L411)</f>
        <v/>
      </c>
    </row>
    <row r="437" spans="2:3" ht="14.25" customHeight="1" x14ac:dyDescent="0.2">
      <c r="B437" s="207" t="str">
        <f>Amortization!B412</f>
        <v/>
      </c>
      <c r="C437" s="12" t="str">
        <f>IF(B437&lt;=$D$10,0,Amortization!L412)</f>
        <v/>
      </c>
    </row>
    <row r="438" spans="2:3" ht="14.25" customHeight="1" x14ac:dyDescent="0.2">
      <c r="B438" s="207" t="str">
        <f>Amortization!B413</f>
        <v/>
      </c>
      <c r="C438" s="12" t="str">
        <f>IF(B438&lt;=$D$10,0,Amortization!L413)</f>
        <v/>
      </c>
    </row>
    <row r="439" spans="2:3" ht="14.25" customHeight="1" x14ac:dyDescent="0.2">
      <c r="B439" s="207" t="str">
        <f>Amortization!B414</f>
        <v/>
      </c>
      <c r="C439" s="12" t="str">
        <f>IF(B439&lt;=$D$10,0,Amortization!L414)</f>
        <v/>
      </c>
    </row>
    <row r="440" spans="2:3" ht="14.25" customHeight="1" x14ac:dyDescent="0.2">
      <c r="B440" s="207" t="str">
        <f>Amortization!B415</f>
        <v/>
      </c>
      <c r="C440" s="12" t="str">
        <f>IF(B440&lt;=$D$10,0,Amortization!L415)</f>
        <v/>
      </c>
    </row>
    <row r="441" spans="2:3" ht="14.25" customHeight="1" x14ac:dyDescent="0.2">
      <c r="B441" s="207" t="str">
        <f>Amortization!B416</f>
        <v/>
      </c>
      <c r="C441" s="12" t="str">
        <f>IF(B441&lt;=$D$10,0,Amortization!L416)</f>
        <v/>
      </c>
    </row>
    <row r="442" spans="2:3" ht="14.25" customHeight="1" x14ac:dyDescent="0.2">
      <c r="B442" s="207" t="str">
        <f>Amortization!B417</f>
        <v/>
      </c>
      <c r="C442" s="12" t="str">
        <f>IF(B442&lt;=$D$10,0,Amortization!L417)</f>
        <v/>
      </c>
    </row>
    <row r="443" spans="2:3" ht="14.25" customHeight="1" x14ac:dyDescent="0.2">
      <c r="B443" s="207" t="str">
        <f>Amortization!B418</f>
        <v/>
      </c>
      <c r="C443" s="12" t="str">
        <f>IF(B443&lt;=$D$10,0,Amortization!L418)</f>
        <v/>
      </c>
    </row>
    <row r="444" spans="2:3" ht="14.25" customHeight="1" x14ac:dyDescent="0.2">
      <c r="B444" s="207" t="str">
        <f>Amortization!B419</f>
        <v/>
      </c>
      <c r="C444" s="12" t="str">
        <f>IF(B444&lt;=$D$10,0,Amortization!L419)</f>
        <v/>
      </c>
    </row>
    <row r="445" spans="2:3" ht="14.25" customHeight="1" x14ac:dyDescent="0.2">
      <c r="B445" s="207" t="str">
        <f>Amortization!B420</f>
        <v/>
      </c>
      <c r="C445" s="12" t="str">
        <f>IF(B445&lt;=$D$10,0,Amortization!L420)</f>
        <v/>
      </c>
    </row>
    <row r="446" spans="2:3" ht="14.25" customHeight="1" x14ac:dyDescent="0.2">
      <c r="B446" s="207" t="str">
        <f>Amortization!B421</f>
        <v/>
      </c>
      <c r="C446" s="12" t="str">
        <f>IF(B446&lt;=$D$10,0,Amortization!L421)</f>
        <v/>
      </c>
    </row>
    <row r="447" spans="2:3" ht="14.25" customHeight="1" x14ac:dyDescent="0.2">
      <c r="B447" s="207" t="str">
        <f>Amortization!B422</f>
        <v/>
      </c>
      <c r="C447" s="12" t="str">
        <f>IF(B447&lt;=$D$10,0,Amortization!L422)</f>
        <v/>
      </c>
    </row>
    <row r="448" spans="2:3" ht="14.25" customHeight="1" x14ac:dyDescent="0.2">
      <c r="B448" s="207" t="str">
        <f>Amortization!B423</f>
        <v/>
      </c>
      <c r="C448" s="12" t="str">
        <f>IF(B448&lt;=$D$10,0,Amortization!L423)</f>
        <v/>
      </c>
    </row>
    <row r="449" spans="2:3" ht="14.25" customHeight="1" x14ac:dyDescent="0.2">
      <c r="B449" s="207" t="str">
        <f>Amortization!B424</f>
        <v/>
      </c>
      <c r="C449" s="12" t="str">
        <f>IF(B449&lt;=$D$10,0,Amortization!L424)</f>
        <v/>
      </c>
    </row>
    <row r="450" spans="2:3" ht="14.25" customHeight="1" x14ac:dyDescent="0.2">
      <c r="B450" s="207" t="str">
        <f>Amortization!B425</f>
        <v/>
      </c>
      <c r="C450" s="12" t="str">
        <f>IF(B450&lt;=$D$10,0,Amortization!L425)</f>
        <v/>
      </c>
    </row>
    <row r="451" spans="2:3" ht="14.25" customHeight="1" x14ac:dyDescent="0.2">
      <c r="B451" s="207" t="str">
        <f>Amortization!B426</f>
        <v/>
      </c>
      <c r="C451" s="12" t="str">
        <f>IF(B451&lt;=$D$10,0,Amortization!L426)</f>
        <v/>
      </c>
    </row>
    <row r="452" spans="2:3" ht="14.25" customHeight="1" x14ac:dyDescent="0.2">
      <c r="B452" s="207" t="str">
        <f>Amortization!B427</f>
        <v/>
      </c>
      <c r="C452" s="12" t="str">
        <f>IF(B452&lt;=$D$10,0,Amortization!L427)</f>
        <v/>
      </c>
    </row>
    <row r="453" spans="2:3" ht="14.25" customHeight="1" x14ac:dyDescent="0.2">
      <c r="B453" s="207" t="str">
        <f>Amortization!B428</f>
        <v/>
      </c>
      <c r="C453" s="12" t="str">
        <f>IF(B453&lt;=$D$10,0,Amortization!L428)</f>
        <v/>
      </c>
    </row>
    <row r="454" spans="2:3" ht="14.25" customHeight="1" x14ac:dyDescent="0.2">
      <c r="B454" s="207" t="str">
        <f>Amortization!B429</f>
        <v/>
      </c>
      <c r="C454" s="12" t="str">
        <f>IF(B454&lt;=$D$10,0,Amortization!L429)</f>
        <v/>
      </c>
    </row>
    <row r="455" spans="2:3" ht="14.25" customHeight="1" x14ac:dyDescent="0.2">
      <c r="B455" s="207" t="str">
        <f>Amortization!B430</f>
        <v/>
      </c>
      <c r="C455" s="12" t="str">
        <f>IF(B455&lt;=$D$10,0,Amortization!L430)</f>
        <v/>
      </c>
    </row>
    <row r="456" spans="2:3" ht="14.25" customHeight="1" x14ac:dyDescent="0.2">
      <c r="B456" s="207" t="str">
        <f>Amortization!B431</f>
        <v/>
      </c>
      <c r="C456" s="12" t="str">
        <f>IF(B456&lt;=$D$10,0,Amortization!L431)</f>
        <v/>
      </c>
    </row>
    <row r="457" spans="2:3" ht="14.25" customHeight="1" x14ac:dyDescent="0.2">
      <c r="B457" s="207" t="str">
        <f>Amortization!B432</f>
        <v/>
      </c>
      <c r="C457" s="12" t="str">
        <f>IF(B457&lt;=$D$10,0,Amortization!L432)</f>
        <v/>
      </c>
    </row>
    <row r="458" spans="2:3" ht="14.25" customHeight="1" x14ac:dyDescent="0.2">
      <c r="B458" s="207" t="str">
        <f>Amortization!B433</f>
        <v/>
      </c>
      <c r="C458" s="12" t="str">
        <f>IF(B458&lt;=$D$10,0,Amortization!L433)</f>
        <v/>
      </c>
    </row>
    <row r="459" spans="2:3" ht="14.25" customHeight="1" x14ac:dyDescent="0.2">
      <c r="B459" s="207" t="str">
        <f>Amortization!B434</f>
        <v/>
      </c>
      <c r="C459" s="12" t="str">
        <f>IF(B459&lt;=$D$10,0,Amortization!L434)</f>
        <v/>
      </c>
    </row>
    <row r="460" spans="2:3" ht="14.25" customHeight="1" x14ac:dyDescent="0.2">
      <c r="B460" s="207" t="str">
        <f>Amortization!B435</f>
        <v/>
      </c>
      <c r="C460" s="12" t="str">
        <f>IF(B460&lt;=$D$10,0,Amortization!L435)</f>
        <v/>
      </c>
    </row>
    <row r="461" spans="2:3" ht="14.25" customHeight="1" x14ac:dyDescent="0.2">
      <c r="B461" s="207" t="str">
        <f>Amortization!B436</f>
        <v/>
      </c>
      <c r="C461" s="12" t="str">
        <f>IF(B461&lt;=$D$10,0,Amortization!L436)</f>
        <v/>
      </c>
    </row>
    <row r="462" spans="2:3" ht="14.25" customHeight="1" x14ac:dyDescent="0.2">
      <c r="B462" s="207" t="str">
        <f>Amortization!B437</f>
        <v/>
      </c>
      <c r="C462" s="12" t="str">
        <f>IF(B462&lt;=$D$10,0,Amortization!L437)</f>
        <v/>
      </c>
    </row>
    <row r="463" spans="2:3" ht="14.25" customHeight="1" x14ac:dyDescent="0.2">
      <c r="B463" s="207" t="str">
        <f>Amortization!B438</f>
        <v/>
      </c>
      <c r="C463" s="12" t="str">
        <f>IF(B463&lt;=$D$10,0,Amortization!L438)</f>
        <v/>
      </c>
    </row>
    <row r="464" spans="2:3" ht="14.25" customHeight="1" x14ac:dyDescent="0.2">
      <c r="B464" s="207" t="str">
        <f>Amortization!B439</f>
        <v/>
      </c>
      <c r="C464" s="12" t="str">
        <f>IF(B464&lt;=$D$10,0,Amortization!L439)</f>
        <v/>
      </c>
    </row>
    <row r="465" spans="2:3" ht="14.25" customHeight="1" x14ac:dyDescent="0.2">
      <c r="B465" s="207" t="str">
        <f>Amortization!B440</f>
        <v/>
      </c>
      <c r="C465" s="12" t="str">
        <f>IF(B465&lt;=$D$10,0,Amortization!L440)</f>
        <v/>
      </c>
    </row>
    <row r="466" spans="2:3" ht="14.25" customHeight="1" x14ac:dyDescent="0.2">
      <c r="B466" s="207" t="str">
        <f>Amortization!B441</f>
        <v/>
      </c>
      <c r="C466" s="12" t="str">
        <f>IF(B466&lt;=$D$10,0,Amortization!L441)</f>
        <v/>
      </c>
    </row>
    <row r="467" spans="2:3" ht="14.25" customHeight="1" x14ac:dyDescent="0.2">
      <c r="B467" s="207" t="str">
        <f>Amortization!B442</f>
        <v/>
      </c>
      <c r="C467" s="12" t="str">
        <f>IF(B467&lt;=$D$10,0,Amortization!L442)</f>
        <v/>
      </c>
    </row>
    <row r="468" spans="2:3" ht="14.25" customHeight="1" x14ac:dyDescent="0.2">
      <c r="B468" s="207" t="str">
        <f>Amortization!B443</f>
        <v/>
      </c>
      <c r="C468" s="12" t="str">
        <f>IF(B468&lt;=$D$10,0,Amortization!L443)</f>
        <v/>
      </c>
    </row>
    <row r="469" spans="2:3" ht="14.25" customHeight="1" x14ac:dyDescent="0.2">
      <c r="B469" s="207" t="str">
        <f>Amortization!B444</f>
        <v/>
      </c>
      <c r="C469" s="12" t="str">
        <f>IF(B469&lt;=$D$10,0,Amortization!L444)</f>
        <v/>
      </c>
    </row>
    <row r="470" spans="2:3" ht="14.25" customHeight="1" x14ac:dyDescent="0.2">
      <c r="B470" s="207" t="str">
        <f>Amortization!B445</f>
        <v/>
      </c>
      <c r="C470" s="12" t="str">
        <f>IF(B470&lt;=$D$10,0,Amortization!L445)</f>
        <v/>
      </c>
    </row>
    <row r="471" spans="2:3" ht="14.25" customHeight="1" x14ac:dyDescent="0.2">
      <c r="B471" s="207" t="str">
        <f>Amortization!B446</f>
        <v/>
      </c>
      <c r="C471" s="12" t="str">
        <f>IF(B471&lt;=$D$10,0,Amortization!L446)</f>
        <v/>
      </c>
    </row>
    <row r="472" spans="2:3" ht="14.25" customHeight="1" x14ac:dyDescent="0.2">
      <c r="B472" s="207" t="str">
        <f>Amortization!B447</f>
        <v/>
      </c>
      <c r="C472" s="12" t="str">
        <f>IF(B472&lt;=$D$10,0,Amortization!L447)</f>
        <v/>
      </c>
    </row>
    <row r="473" spans="2:3" ht="14.25" customHeight="1" x14ac:dyDescent="0.2">
      <c r="B473" s="207" t="str">
        <f>Amortization!B448</f>
        <v/>
      </c>
      <c r="C473" s="12" t="str">
        <f>IF(B473&lt;=$D$10,0,Amortization!L448)</f>
        <v/>
      </c>
    </row>
    <row r="474" spans="2:3" ht="14.25" customHeight="1" x14ac:dyDescent="0.2">
      <c r="B474" s="207" t="str">
        <f>Amortization!B449</f>
        <v/>
      </c>
      <c r="C474" s="12" t="str">
        <f>IF(B474&lt;=$D$10,0,Amortization!L449)</f>
        <v/>
      </c>
    </row>
    <row r="475" spans="2:3" ht="14.25" customHeight="1" x14ac:dyDescent="0.2">
      <c r="B475" s="207" t="str">
        <f>Amortization!B450</f>
        <v/>
      </c>
      <c r="C475" s="12" t="str">
        <f>IF(B475&lt;=$D$10,0,Amortization!L450)</f>
        <v/>
      </c>
    </row>
    <row r="476" spans="2:3" ht="14.25" customHeight="1" x14ac:dyDescent="0.2">
      <c r="B476" s="207" t="str">
        <f>Amortization!B451</f>
        <v/>
      </c>
      <c r="C476" s="12" t="str">
        <f>IF(B476&lt;=$D$10,0,Amortization!L451)</f>
        <v/>
      </c>
    </row>
    <row r="477" spans="2:3" ht="14.25" customHeight="1" x14ac:dyDescent="0.2">
      <c r="B477" s="207" t="str">
        <f>Amortization!B452</f>
        <v/>
      </c>
      <c r="C477" s="12" t="str">
        <f>IF(B477&lt;=$D$10,0,Amortization!L452)</f>
        <v/>
      </c>
    </row>
    <row r="478" spans="2:3" ht="14.25" customHeight="1" x14ac:dyDescent="0.2">
      <c r="B478" s="207" t="str">
        <f>Amortization!B453</f>
        <v/>
      </c>
      <c r="C478" s="12" t="str">
        <f>IF(B478&lt;=$D$10,0,Amortization!L453)</f>
        <v/>
      </c>
    </row>
    <row r="479" spans="2:3" ht="14.25" customHeight="1" x14ac:dyDescent="0.2">
      <c r="B479" s="207" t="str">
        <f>Amortization!B454</f>
        <v/>
      </c>
      <c r="C479" s="12" t="str">
        <f>IF(B479&lt;=$D$10,0,Amortization!L454)</f>
        <v/>
      </c>
    </row>
    <row r="480" spans="2:3" ht="14.25" customHeight="1" x14ac:dyDescent="0.2">
      <c r="B480" s="207" t="str">
        <f>Amortization!B455</f>
        <v/>
      </c>
      <c r="C480" s="12" t="str">
        <f>IF(B480&lt;=$D$10,0,Amortization!L455)</f>
        <v/>
      </c>
    </row>
    <row r="481" spans="2:3" ht="14.25" customHeight="1" x14ac:dyDescent="0.2">
      <c r="B481" s="207" t="str">
        <f>Amortization!B456</f>
        <v/>
      </c>
      <c r="C481" s="12" t="str">
        <f>IF(B481&lt;=$D$10,0,Amortization!L456)</f>
        <v/>
      </c>
    </row>
    <row r="482" spans="2:3" ht="14.25" customHeight="1" x14ac:dyDescent="0.2">
      <c r="B482" s="207" t="str">
        <f>Amortization!B457</f>
        <v/>
      </c>
      <c r="C482" s="12" t="str">
        <f>IF(B482&lt;=$D$10,0,Amortization!L457)</f>
        <v/>
      </c>
    </row>
    <row r="483" spans="2:3" ht="14.25" customHeight="1" x14ac:dyDescent="0.2">
      <c r="B483" s="207" t="str">
        <f>Amortization!B458</f>
        <v/>
      </c>
      <c r="C483" s="12" t="str">
        <f>IF(B483&lt;=$D$10,0,Amortization!L458)</f>
        <v/>
      </c>
    </row>
    <row r="484" spans="2:3" ht="14.25" customHeight="1" x14ac:dyDescent="0.2">
      <c r="B484" s="207" t="str">
        <f>Amortization!B459</f>
        <v/>
      </c>
      <c r="C484" s="12" t="str">
        <f>IF(B484&lt;=$D$10,0,Amortization!L459)</f>
        <v/>
      </c>
    </row>
    <row r="485" spans="2:3" ht="14.25" customHeight="1" x14ac:dyDescent="0.2">
      <c r="B485" s="207" t="str">
        <f>Amortization!B460</f>
        <v/>
      </c>
      <c r="C485" s="12" t="str">
        <f>IF(B485&lt;=$D$10,0,Amortization!L460)</f>
        <v/>
      </c>
    </row>
    <row r="486" spans="2:3" ht="14.25" customHeight="1" x14ac:dyDescent="0.2">
      <c r="B486" s="207" t="str">
        <f>Amortization!B461</f>
        <v/>
      </c>
      <c r="C486" s="12" t="str">
        <f>IF(B486&lt;=$D$10,0,Amortization!L461)</f>
        <v/>
      </c>
    </row>
    <row r="487" spans="2:3" ht="14.25" customHeight="1" x14ac:dyDescent="0.2">
      <c r="B487" s="207" t="str">
        <f>Amortization!B462</f>
        <v/>
      </c>
      <c r="C487" s="12" t="str">
        <f>IF(B487&lt;=$D$10,0,Amortization!L462)</f>
        <v/>
      </c>
    </row>
    <row r="488" spans="2:3" ht="14.25" customHeight="1" x14ac:dyDescent="0.2">
      <c r="B488" s="207" t="str">
        <f>Amortization!B463</f>
        <v/>
      </c>
      <c r="C488" s="12" t="str">
        <f>IF(B488&lt;=$D$10,0,Amortization!L463)</f>
        <v/>
      </c>
    </row>
    <row r="489" spans="2:3" ht="14.25" customHeight="1" x14ac:dyDescent="0.2">
      <c r="B489" s="207" t="str">
        <f>Amortization!B464</f>
        <v/>
      </c>
      <c r="C489" s="12" t="str">
        <f>IF(B489&lt;=$D$10,0,Amortization!L464)</f>
        <v/>
      </c>
    </row>
    <row r="490" spans="2:3" ht="14.25" customHeight="1" x14ac:dyDescent="0.2">
      <c r="B490" s="207" t="str">
        <f>Amortization!B465</f>
        <v/>
      </c>
      <c r="C490" s="12" t="str">
        <f>IF(B490&lt;=$D$10,0,Amortization!L465)</f>
        <v/>
      </c>
    </row>
    <row r="491" spans="2:3" ht="14.25" customHeight="1" x14ac:dyDescent="0.2">
      <c r="B491" s="207" t="str">
        <f>Amortization!B466</f>
        <v/>
      </c>
      <c r="C491" s="12" t="str">
        <f>IF(B491&lt;=$D$10,0,Amortization!L466)</f>
        <v/>
      </c>
    </row>
    <row r="492" spans="2:3" ht="14.25" customHeight="1" x14ac:dyDescent="0.2">
      <c r="B492" s="207" t="str">
        <f>Amortization!B467</f>
        <v/>
      </c>
      <c r="C492" s="12" t="str">
        <f>IF(B492&lt;=$D$10,0,Amortization!L467)</f>
        <v/>
      </c>
    </row>
    <row r="493" spans="2:3" ht="14.25" customHeight="1" x14ac:dyDescent="0.2">
      <c r="B493" s="207" t="str">
        <f>Amortization!B468</f>
        <v/>
      </c>
      <c r="C493" s="12" t="str">
        <f>IF(B493&lt;=$D$10,0,Amortization!L468)</f>
        <v/>
      </c>
    </row>
    <row r="494" spans="2:3" ht="14.25" customHeight="1" x14ac:dyDescent="0.2">
      <c r="B494" s="207" t="str">
        <f>Amortization!B469</f>
        <v/>
      </c>
      <c r="C494" s="12" t="str">
        <f>IF(B494&lt;=$D$10,0,Amortization!L469)</f>
        <v/>
      </c>
    </row>
    <row r="495" spans="2:3" ht="14.25" customHeight="1" x14ac:dyDescent="0.2">
      <c r="B495" s="207" t="str">
        <f>Amortization!B470</f>
        <v/>
      </c>
      <c r="C495" s="12" t="str">
        <f>IF(B495&lt;=$D$10,0,Amortization!L470)</f>
        <v/>
      </c>
    </row>
    <row r="496" spans="2:3" ht="14.25" customHeight="1" x14ac:dyDescent="0.2">
      <c r="B496" s="207" t="str">
        <f>Amortization!B471</f>
        <v/>
      </c>
      <c r="C496" s="12" t="str">
        <f>IF(B496&lt;=$D$10,0,Amortization!L471)</f>
        <v/>
      </c>
    </row>
    <row r="497" spans="2:3" ht="14.25" customHeight="1" x14ac:dyDescent="0.2">
      <c r="B497" s="207" t="str">
        <f>Amortization!B472</f>
        <v/>
      </c>
      <c r="C497" s="12" t="str">
        <f>IF(B497&lt;=$D$10,0,Amortization!L472)</f>
        <v/>
      </c>
    </row>
    <row r="498" spans="2:3" ht="14.25" customHeight="1" x14ac:dyDescent="0.2">
      <c r="B498" s="207" t="str">
        <f>Amortization!B473</f>
        <v/>
      </c>
      <c r="C498" s="12" t="str">
        <f>IF(B498&lt;=$D$10,0,Amortization!L473)</f>
        <v/>
      </c>
    </row>
    <row r="499" spans="2:3" ht="14.25" customHeight="1" x14ac:dyDescent="0.2">
      <c r="B499" s="207" t="str">
        <f>Amortization!B474</f>
        <v/>
      </c>
      <c r="C499" s="12" t="str">
        <f>IF(B499&lt;=$D$10,0,Amortization!L474)</f>
        <v/>
      </c>
    </row>
    <row r="500" spans="2:3" ht="14.25" customHeight="1" x14ac:dyDescent="0.2">
      <c r="B500" s="207" t="str">
        <f>Amortization!B475</f>
        <v/>
      </c>
      <c r="C500" s="12" t="str">
        <f>IF(B500&lt;=$D$10,0,Amortization!L475)</f>
        <v/>
      </c>
    </row>
    <row r="501" spans="2:3" ht="14.25" customHeight="1" x14ac:dyDescent="0.2">
      <c r="B501" s="207" t="str">
        <f>Amortization!B476</f>
        <v/>
      </c>
      <c r="C501" s="12" t="str">
        <f>IF(B501&lt;=$D$10,0,Amortization!L476)</f>
        <v/>
      </c>
    </row>
    <row r="502" spans="2:3" ht="14.25" customHeight="1" x14ac:dyDescent="0.2">
      <c r="B502" s="207" t="str">
        <f>Amortization!B477</f>
        <v/>
      </c>
      <c r="C502" s="12" t="str">
        <f>IF(B502&lt;=$D$10,0,Amortization!L477)</f>
        <v/>
      </c>
    </row>
    <row r="503" spans="2:3" ht="14.25" customHeight="1" x14ac:dyDescent="0.2">
      <c r="B503" s="207" t="str">
        <f>Amortization!B478</f>
        <v/>
      </c>
      <c r="C503" s="12" t="str">
        <f>IF(B503&lt;=$D$10,0,Amortization!L478)</f>
        <v/>
      </c>
    </row>
    <row r="504" spans="2:3" ht="14.25" customHeight="1" x14ac:dyDescent="0.2">
      <c r="B504" s="207" t="str">
        <f>Amortization!B479</f>
        <v/>
      </c>
      <c r="C504" s="12" t="str">
        <f>IF(B504&lt;=$D$10,0,Amortization!L479)</f>
        <v/>
      </c>
    </row>
    <row r="505" spans="2:3" ht="14.25" customHeight="1" x14ac:dyDescent="0.2">
      <c r="B505" s="207" t="str">
        <f>Amortization!B480</f>
        <v/>
      </c>
      <c r="C505" s="12" t="str">
        <f>IF(B505&lt;=$D$10,0,Amortization!L480)</f>
        <v/>
      </c>
    </row>
    <row r="506" spans="2:3" ht="14.25" customHeight="1" x14ac:dyDescent="0.2">
      <c r="B506" s="207" t="str">
        <f>Amortization!B481</f>
        <v/>
      </c>
      <c r="C506" s="12" t="str">
        <f>IF(B506&lt;=$D$10,0,Amortization!L481)</f>
        <v/>
      </c>
    </row>
    <row r="507" spans="2:3" ht="14.25" customHeight="1" x14ac:dyDescent="0.2">
      <c r="B507" s="207" t="str">
        <f>Amortization!B482</f>
        <v/>
      </c>
      <c r="C507" s="12" t="str">
        <f>IF(B507&lt;=$D$10,0,Amortization!L482)</f>
        <v/>
      </c>
    </row>
    <row r="508" spans="2:3" ht="14.25" customHeight="1" x14ac:dyDescent="0.2">
      <c r="B508" s="207" t="str">
        <f>Amortization!B483</f>
        <v/>
      </c>
      <c r="C508" s="12" t="str">
        <f>IF(B508&lt;=$D$10,0,Amortization!L483)</f>
        <v/>
      </c>
    </row>
    <row r="509" spans="2:3" ht="14.25" customHeight="1" x14ac:dyDescent="0.2">
      <c r="B509" s="207" t="str">
        <f>Amortization!B484</f>
        <v/>
      </c>
      <c r="C509" s="12" t="str">
        <f>IF(B509&lt;=$D$10,0,Amortization!L484)</f>
        <v/>
      </c>
    </row>
    <row r="510" spans="2:3" ht="14.25" customHeight="1" x14ac:dyDescent="0.2">
      <c r="B510" s="207" t="str">
        <f>Amortization!B485</f>
        <v/>
      </c>
      <c r="C510" s="12" t="str">
        <f>IF(B510&lt;=$D$10,0,Amortization!L485)</f>
        <v/>
      </c>
    </row>
    <row r="511" spans="2:3" ht="14.25" customHeight="1" x14ac:dyDescent="0.2">
      <c r="B511" s="207" t="str">
        <f>Amortization!B486</f>
        <v/>
      </c>
      <c r="C511" s="12" t="str">
        <f>IF(B511&lt;=$D$10,0,Amortization!L486)</f>
        <v/>
      </c>
    </row>
    <row r="512" spans="2:3" ht="14.25" customHeight="1" x14ac:dyDescent="0.2">
      <c r="B512" s="207" t="str">
        <f>Amortization!B487</f>
        <v/>
      </c>
      <c r="C512" s="12" t="str">
        <f>IF(B512&lt;=$D$10,0,Amortization!L487)</f>
        <v/>
      </c>
    </row>
    <row r="513" spans="2:3" ht="14.25" customHeight="1" x14ac:dyDescent="0.2">
      <c r="B513" s="207" t="str">
        <f>Amortization!B488</f>
        <v/>
      </c>
      <c r="C513" s="12" t="str">
        <f>IF(B513&lt;=$D$10,0,Amortization!L488)</f>
        <v/>
      </c>
    </row>
    <row r="514" spans="2:3" ht="14.25" customHeight="1" x14ac:dyDescent="0.2">
      <c r="B514" s="207" t="str">
        <f>Amortization!B489</f>
        <v/>
      </c>
      <c r="C514" s="12" t="str">
        <f>IF(B514&lt;=$D$10,0,Amortization!L489)</f>
        <v/>
      </c>
    </row>
    <row r="515" spans="2:3" ht="14.25" customHeight="1" x14ac:dyDescent="0.2">
      <c r="B515" s="207" t="str">
        <f>Amortization!B490</f>
        <v/>
      </c>
      <c r="C515" s="12" t="str">
        <f>IF(B515&lt;=$D$10,0,Amortization!L490)</f>
        <v/>
      </c>
    </row>
    <row r="516" spans="2:3" ht="14.25" customHeight="1" x14ac:dyDescent="0.2">
      <c r="B516" s="207" t="str">
        <f>Amortization!B491</f>
        <v/>
      </c>
      <c r="C516" s="12" t="str">
        <f>IF(B516&lt;=$D$10,0,Amortization!L491)</f>
        <v/>
      </c>
    </row>
    <row r="517" spans="2:3" ht="14.25" customHeight="1" x14ac:dyDescent="0.2">
      <c r="B517" s="207" t="str">
        <f>Amortization!B492</f>
        <v/>
      </c>
      <c r="C517" s="12" t="str">
        <f>IF(B517&lt;=$D$10,0,Amortization!L492)</f>
        <v/>
      </c>
    </row>
    <row r="518" spans="2:3" ht="14.25" customHeight="1" x14ac:dyDescent="0.2">
      <c r="B518" s="207" t="str">
        <f>Amortization!B493</f>
        <v/>
      </c>
      <c r="C518" s="12" t="str">
        <f>IF(B518&lt;=$D$10,0,Amortization!L493)</f>
        <v/>
      </c>
    </row>
    <row r="519" spans="2:3" ht="14.25" customHeight="1" x14ac:dyDescent="0.2">
      <c r="B519" s="207" t="str">
        <f>Amortization!B494</f>
        <v/>
      </c>
      <c r="C519" s="12" t="str">
        <f>IF(B519&lt;=$D$10,0,Amortization!L494)</f>
        <v/>
      </c>
    </row>
    <row r="520" spans="2:3" ht="14.25" customHeight="1" x14ac:dyDescent="0.2">
      <c r="B520" s="207" t="str">
        <f>Amortization!B495</f>
        <v/>
      </c>
      <c r="C520" s="12" t="str">
        <f>IF(B520&lt;=$D$10,0,Amortization!L495)</f>
        <v/>
      </c>
    </row>
    <row r="521" spans="2:3" ht="14.25" customHeight="1" x14ac:dyDescent="0.2">
      <c r="B521" s="207" t="str">
        <f>Amortization!B496</f>
        <v/>
      </c>
      <c r="C521" s="12" t="str">
        <f>IF(B521&lt;=$D$10,0,Amortization!L496)</f>
        <v/>
      </c>
    </row>
    <row r="522" spans="2:3" ht="14.25" customHeight="1" x14ac:dyDescent="0.2">
      <c r="B522" s="207" t="str">
        <f>Amortization!B497</f>
        <v/>
      </c>
      <c r="C522" s="12" t="str">
        <f>IF(B522&lt;=$D$10,0,Amortization!L497)</f>
        <v/>
      </c>
    </row>
    <row r="523" spans="2:3" ht="14.25" customHeight="1" x14ac:dyDescent="0.2">
      <c r="B523" s="207" t="str">
        <f>Amortization!B498</f>
        <v/>
      </c>
      <c r="C523" s="12" t="str">
        <f>IF(B523&lt;=$D$10,0,Amortization!L498)</f>
        <v/>
      </c>
    </row>
    <row r="524" spans="2:3" ht="14.25" customHeight="1" x14ac:dyDescent="0.2">
      <c r="B524" s="207" t="str">
        <f>Amortization!B499</f>
        <v/>
      </c>
      <c r="C524" s="12" t="str">
        <f>IF(B524&lt;=$D$10,0,Amortization!L499)</f>
        <v/>
      </c>
    </row>
    <row r="525" spans="2:3" ht="14.25" customHeight="1" x14ac:dyDescent="0.2">
      <c r="B525" s="207" t="str">
        <f>Amortization!B500</f>
        <v/>
      </c>
      <c r="C525" s="12" t="str">
        <f>IF(B525&lt;=$D$10,0,Amortization!L500)</f>
        <v/>
      </c>
    </row>
    <row r="526" spans="2:3" ht="14.25" customHeight="1" x14ac:dyDescent="0.2">
      <c r="B526" s="207" t="str">
        <f>Amortization!B501</f>
        <v/>
      </c>
      <c r="C526" s="12" t="str">
        <f>IF(B526&lt;=$D$10,0,Amortization!L501)</f>
        <v/>
      </c>
    </row>
    <row r="527" spans="2:3" ht="14.25" customHeight="1" x14ac:dyDescent="0.2">
      <c r="B527" s="207" t="str">
        <f>Amortization!B502</f>
        <v/>
      </c>
      <c r="C527" s="12" t="str">
        <f>IF(B527&lt;=$D$10,0,Amortization!L502)</f>
        <v/>
      </c>
    </row>
    <row r="528" spans="2:3" ht="14.25" customHeight="1" x14ac:dyDescent="0.2">
      <c r="B528" s="207" t="str">
        <f>Amortization!B503</f>
        <v/>
      </c>
      <c r="C528" s="12" t="str">
        <f>IF(B528&lt;=$D$10,0,Amortization!L503)</f>
        <v/>
      </c>
    </row>
    <row r="529" spans="2:3" ht="14.25" customHeight="1" x14ac:dyDescent="0.2">
      <c r="B529" s="207" t="str">
        <f>Amortization!B504</f>
        <v/>
      </c>
      <c r="C529" s="12" t="str">
        <f>IF(B529&lt;=$D$10,0,Amortization!L504)</f>
        <v/>
      </c>
    </row>
    <row r="530" spans="2:3" ht="14.25" customHeight="1" x14ac:dyDescent="0.2">
      <c r="B530" s="207" t="str">
        <f>Amortization!B505</f>
        <v/>
      </c>
      <c r="C530" s="12" t="str">
        <f>IF(B530&lt;=$D$10,0,Amortization!L505)</f>
        <v/>
      </c>
    </row>
    <row r="531" spans="2:3" ht="14.25" customHeight="1" x14ac:dyDescent="0.2">
      <c r="B531" s="207" t="str">
        <f>Amortization!B506</f>
        <v/>
      </c>
      <c r="C531" s="12" t="str">
        <f>IF(B531&lt;=$D$10,0,Amortization!L506)</f>
        <v/>
      </c>
    </row>
    <row r="532" spans="2:3" ht="14.25" customHeight="1" x14ac:dyDescent="0.2">
      <c r="B532" s="207" t="str">
        <f>Amortization!B507</f>
        <v/>
      </c>
      <c r="C532" s="12" t="str">
        <f>IF(B532&lt;=$D$10,0,Amortization!L507)</f>
        <v/>
      </c>
    </row>
    <row r="533" spans="2:3" ht="14.25" customHeight="1" x14ac:dyDescent="0.2">
      <c r="B533" s="207" t="str">
        <f>Amortization!B508</f>
        <v/>
      </c>
      <c r="C533" s="12" t="str">
        <f>IF(B533&lt;=$D$10,0,Amortization!L508)</f>
        <v/>
      </c>
    </row>
    <row r="534" spans="2:3" ht="14.25" customHeight="1" x14ac:dyDescent="0.2">
      <c r="B534" s="207" t="str">
        <f>Amortization!B509</f>
        <v/>
      </c>
      <c r="C534" s="12" t="str">
        <f>IF(B534&lt;=$D$10,0,Amortization!L509)</f>
        <v/>
      </c>
    </row>
    <row r="535" spans="2:3" ht="14.25" customHeight="1" x14ac:dyDescent="0.2">
      <c r="B535" s="207" t="str">
        <f>Amortization!B510</f>
        <v/>
      </c>
      <c r="C535" s="12" t="str">
        <f>IF(B535&lt;=$D$10,0,Amortization!L510)</f>
        <v/>
      </c>
    </row>
    <row r="536" spans="2:3" ht="14.25" customHeight="1" x14ac:dyDescent="0.2">
      <c r="B536" s="207" t="str">
        <f>Amortization!B511</f>
        <v/>
      </c>
      <c r="C536" s="12" t="str">
        <f>IF(B536&lt;=$D$10,0,Amortization!L511)</f>
        <v/>
      </c>
    </row>
    <row r="537" spans="2:3" ht="14.25" customHeight="1" x14ac:dyDescent="0.2">
      <c r="B537" s="207" t="str">
        <f>Amortization!B512</f>
        <v/>
      </c>
      <c r="C537" s="12" t="str">
        <f>IF(B537&lt;=$D$10,0,Amortization!L512)</f>
        <v/>
      </c>
    </row>
    <row r="538" spans="2:3" ht="14.25" customHeight="1" x14ac:dyDescent="0.2">
      <c r="B538" s="207" t="str">
        <f>Amortization!B513</f>
        <v/>
      </c>
      <c r="C538" s="12" t="str">
        <f>IF(B538&lt;=$D$10,0,Amortization!L513)</f>
        <v/>
      </c>
    </row>
    <row r="539" spans="2:3" ht="14.25" customHeight="1" x14ac:dyDescent="0.2">
      <c r="B539" s="207" t="str">
        <f>Amortization!B514</f>
        <v/>
      </c>
      <c r="C539" s="12" t="str">
        <f>IF(B539&lt;=$D$10,0,Amortization!L514)</f>
        <v/>
      </c>
    </row>
    <row r="540" spans="2:3" ht="14.25" customHeight="1" x14ac:dyDescent="0.2">
      <c r="B540" s="207" t="str">
        <f>Amortization!B515</f>
        <v/>
      </c>
      <c r="C540" s="12" t="str">
        <f>IF(B540&lt;=$D$10,0,Amortization!L515)</f>
        <v/>
      </c>
    </row>
    <row r="541" spans="2:3" ht="14.25" customHeight="1" x14ac:dyDescent="0.2">
      <c r="B541" s="207" t="str">
        <f>Amortization!B516</f>
        <v/>
      </c>
      <c r="C541" s="12" t="str">
        <f>IF(B541&lt;=$D$10,0,Amortization!L516)</f>
        <v/>
      </c>
    </row>
    <row r="542" spans="2:3" ht="14.25" customHeight="1" x14ac:dyDescent="0.2">
      <c r="B542" s="207" t="str">
        <f>Amortization!B517</f>
        <v/>
      </c>
      <c r="C542" s="12" t="str">
        <f>IF(B542&lt;=$D$10,0,Amortization!L517)</f>
        <v/>
      </c>
    </row>
    <row r="543" spans="2:3" ht="14.25" customHeight="1" x14ac:dyDescent="0.2">
      <c r="B543" s="207" t="str">
        <f>Amortization!B518</f>
        <v/>
      </c>
      <c r="C543" s="12" t="str">
        <f>IF(B543&lt;=$D$10,0,Amortization!L518)</f>
        <v/>
      </c>
    </row>
    <row r="544" spans="2:3" ht="14.25" customHeight="1" x14ac:dyDescent="0.2">
      <c r="B544" s="207" t="str">
        <f>Amortization!B519</f>
        <v/>
      </c>
      <c r="C544" s="12" t="str">
        <f>IF(B544&lt;=$D$10,0,Amortization!L519)</f>
        <v/>
      </c>
    </row>
    <row r="545" spans="2:3" ht="14.25" customHeight="1" x14ac:dyDescent="0.2">
      <c r="B545" s="207" t="str">
        <f>Amortization!B520</f>
        <v/>
      </c>
      <c r="C545" s="12" t="str">
        <f>IF(B545&lt;=$D$10,0,Amortization!L520)</f>
        <v/>
      </c>
    </row>
    <row r="546" spans="2:3" ht="14.25" customHeight="1" x14ac:dyDescent="0.2">
      <c r="B546" s="207" t="str">
        <f>Amortization!B521</f>
        <v/>
      </c>
      <c r="C546" s="12" t="str">
        <f>IF(B546&lt;=$D$10,0,Amortization!L521)</f>
        <v/>
      </c>
    </row>
    <row r="547" spans="2:3" ht="14.25" customHeight="1" x14ac:dyDescent="0.2">
      <c r="B547" s="207" t="str">
        <f>Amortization!B522</f>
        <v/>
      </c>
      <c r="C547" s="12" t="str">
        <f>IF(B547&lt;=$D$10,0,Amortization!L522)</f>
        <v/>
      </c>
    </row>
    <row r="548" spans="2:3" ht="14.25" customHeight="1" x14ac:dyDescent="0.2">
      <c r="B548" s="207" t="str">
        <f>Amortization!B523</f>
        <v/>
      </c>
      <c r="C548" s="12" t="str">
        <f>IF(B548&lt;=$D$10,0,Amortization!L523)</f>
        <v/>
      </c>
    </row>
    <row r="549" spans="2:3" ht="14.25" customHeight="1" x14ac:dyDescent="0.2">
      <c r="B549" s="207" t="str">
        <f>Amortization!B524</f>
        <v/>
      </c>
      <c r="C549" s="12" t="str">
        <f>IF(B549&lt;=$D$10,0,Amortization!L524)</f>
        <v/>
      </c>
    </row>
    <row r="550" spans="2:3" ht="14.25" customHeight="1" x14ac:dyDescent="0.2">
      <c r="B550" s="207" t="str">
        <f>Amortization!B525</f>
        <v/>
      </c>
      <c r="C550" s="12" t="str">
        <f>IF(B550&lt;=$D$10,0,Amortization!L525)</f>
        <v/>
      </c>
    </row>
    <row r="551" spans="2:3" ht="14.25" customHeight="1" x14ac:dyDescent="0.2">
      <c r="B551" s="207" t="str">
        <f>Amortization!B526</f>
        <v/>
      </c>
      <c r="C551" s="12" t="str">
        <f>IF(B551&lt;=$D$10,0,Amortization!L526)</f>
        <v/>
      </c>
    </row>
    <row r="552" spans="2:3" ht="14.25" customHeight="1" x14ac:dyDescent="0.2">
      <c r="B552" s="207" t="str">
        <f>Amortization!B527</f>
        <v/>
      </c>
      <c r="C552" s="12" t="str">
        <f>IF(B552&lt;=$D$10,0,Amortization!L527)</f>
        <v/>
      </c>
    </row>
    <row r="553" spans="2:3" ht="14.25" customHeight="1" x14ac:dyDescent="0.2">
      <c r="B553" s="207" t="str">
        <f>Amortization!B528</f>
        <v/>
      </c>
      <c r="C553" s="12" t="str">
        <f>IF(B553&lt;=$D$10,0,Amortization!L528)</f>
        <v/>
      </c>
    </row>
    <row r="554" spans="2:3" ht="14.25" customHeight="1" x14ac:dyDescent="0.2">
      <c r="B554" s="207" t="str">
        <f>Amortization!B529</f>
        <v/>
      </c>
      <c r="C554" s="12" t="str">
        <f>IF(B554&lt;=$D$10,0,Amortization!L529)</f>
        <v/>
      </c>
    </row>
    <row r="555" spans="2:3" ht="14.25" customHeight="1" x14ac:dyDescent="0.2">
      <c r="B555" s="207" t="str">
        <f>Amortization!B530</f>
        <v/>
      </c>
      <c r="C555" s="12" t="str">
        <f>IF(B555&lt;=$D$10,0,Amortization!L530)</f>
        <v/>
      </c>
    </row>
    <row r="556" spans="2:3" ht="14.25" customHeight="1" x14ac:dyDescent="0.2">
      <c r="B556" s="207" t="str">
        <f>Amortization!B531</f>
        <v/>
      </c>
      <c r="C556" s="12" t="str">
        <f>IF(B556&lt;=$D$10,0,Amortization!L531)</f>
        <v/>
      </c>
    </row>
    <row r="557" spans="2:3" ht="14.25" customHeight="1" x14ac:dyDescent="0.2">
      <c r="B557" s="207" t="str">
        <f>Amortization!B532</f>
        <v/>
      </c>
      <c r="C557" s="12" t="str">
        <f>IF(B557&lt;=$D$10,0,Amortization!L532)</f>
        <v/>
      </c>
    </row>
    <row r="558" spans="2:3" ht="14.25" customHeight="1" x14ac:dyDescent="0.2">
      <c r="B558" s="207" t="str">
        <f>Amortization!B533</f>
        <v/>
      </c>
      <c r="C558" s="12" t="str">
        <f>IF(B558&lt;=$D$10,0,Amortization!L533)</f>
        <v/>
      </c>
    </row>
    <row r="559" spans="2:3" ht="14.25" customHeight="1" x14ac:dyDescent="0.2">
      <c r="B559" s="207" t="str">
        <f>Amortization!B534</f>
        <v/>
      </c>
      <c r="C559" s="12" t="str">
        <f>IF(B559&lt;=$D$10,0,Amortization!L534)</f>
        <v/>
      </c>
    </row>
    <row r="560" spans="2:3" ht="14.25" customHeight="1" x14ac:dyDescent="0.2">
      <c r="B560" s="207" t="str">
        <f>Amortization!B535</f>
        <v/>
      </c>
      <c r="C560" s="12" t="str">
        <f>IF(B560&lt;=$D$10,0,Amortization!L535)</f>
        <v/>
      </c>
    </row>
    <row r="561" spans="2:3" ht="14.25" customHeight="1" x14ac:dyDescent="0.2">
      <c r="B561" s="207" t="str">
        <f>Amortization!B536</f>
        <v/>
      </c>
      <c r="C561" s="12" t="str">
        <f>IF(B561&lt;=$D$10,0,Amortization!L536)</f>
        <v/>
      </c>
    </row>
    <row r="562" spans="2:3" ht="14.25" customHeight="1" x14ac:dyDescent="0.2">
      <c r="B562" s="207" t="str">
        <f>Amortization!B537</f>
        <v/>
      </c>
      <c r="C562" s="12" t="str">
        <f>IF(B562&lt;=$D$10,0,Amortization!L537)</f>
        <v/>
      </c>
    </row>
    <row r="563" spans="2:3" ht="14.25" customHeight="1" x14ac:dyDescent="0.2">
      <c r="B563" s="207" t="str">
        <f>Amortization!B538</f>
        <v/>
      </c>
      <c r="C563" s="12" t="str">
        <f>IF(B563&lt;=$D$10,0,Amortization!L538)</f>
        <v/>
      </c>
    </row>
    <row r="564" spans="2:3" ht="14.25" customHeight="1" x14ac:dyDescent="0.2">
      <c r="B564" s="207" t="str">
        <f>Amortization!B539</f>
        <v/>
      </c>
      <c r="C564" s="12" t="str">
        <f>IF(B564&lt;=$D$10,0,Amortization!L539)</f>
        <v/>
      </c>
    </row>
    <row r="565" spans="2:3" ht="14.25" customHeight="1" x14ac:dyDescent="0.2">
      <c r="B565" s="207" t="str">
        <f>Amortization!B540</f>
        <v/>
      </c>
      <c r="C565" s="12" t="str">
        <f>IF(B565&lt;=$D$10,0,Amortization!L540)</f>
        <v/>
      </c>
    </row>
    <row r="566" spans="2:3" ht="14.25" customHeight="1" x14ac:dyDescent="0.2">
      <c r="B566" s="207" t="str">
        <f>Amortization!B541</f>
        <v/>
      </c>
      <c r="C566" s="12" t="str">
        <f>IF(B566&lt;=$D$10,0,Amortization!L541)</f>
        <v/>
      </c>
    </row>
    <row r="567" spans="2:3" ht="14.25" customHeight="1" x14ac:dyDescent="0.2">
      <c r="B567" s="207" t="str">
        <f>Amortization!B542</f>
        <v/>
      </c>
      <c r="C567" s="12" t="str">
        <f>IF(B567&lt;=$D$10,0,Amortization!L542)</f>
        <v/>
      </c>
    </row>
    <row r="568" spans="2:3" ht="14.25" customHeight="1" x14ac:dyDescent="0.2">
      <c r="B568" s="207" t="str">
        <f>Amortization!B543</f>
        <v/>
      </c>
      <c r="C568" s="12" t="str">
        <f>IF(B568&lt;=$D$10,0,Amortization!L543)</f>
        <v/>
      </c>
    </row>
    <row r="569" spans="2:3" ht="14.25" customHeight="1" x14ac:dyDescent="0.2">
      <c r="B569" s="207" t="str">
        <f>Amortization!B544</f>
        <v/>
      </c>
      <c r="C569" s="12" t="str">
        <f>IF(B569&lt;=$D$10,0,Amortization!L544)</f>
        <v/>
      </c>
    </row>
    <row r="570" spans="2:3" ht="14.25" customHeight="1" x14ac:dyDescent="0.2">
      <c r="B570" s="207" t="str">
        <f>Amortization!B545</f>
        <v/>
      </c>
      <c r="C570" s="12" t="str">
        <f>IF(B570&lt;=$D$10,0,Amortization!L545)</f>
        <v/>
      </c>
    </row>
    <row r="571" spans="2:3" ht="14.25" customHeight="1" x14ac:dyDescent="0.2">
      <c r="B571" s="207" t="str">
        <f>Amortization!B546</f>
        <v/>
      </c>
      <c r="C571" s="12" t="str">
        <f>IF(B571&lt;=$D$10,0,Amortization!L546)</f>
        <v/>
      </c>
    </row>
    <row r="572" spans="2:3" ht="14.25" customHeight="1" x14ac:dyDescent="0.2">
      <c r="B572" s="207" t="str">
        <f>Amortization!B547</f>
        <v/>
      </c>
      <c r="C572" s="12" t="str">
        <f>IF(B572&lt;=$D$10,0,Amortization!L547)</f>
        <v/>
      </c>
    </row>
    <row r="573" spans="2:3" ht="14.25" customHeight="1" x14ac:dyDescent="0.2">
      <c r="B573" s="207" t="str">
        <f>Amortization!B548</f>
        <v/>
      </c>
      <c r="C573" s="12" t="str">
        <f>IF(B573&lt;=$D$10,0,Amortization!L548)</f>
        <v/>
      </c>
    </row>
    <row r="574" spans="2:3" ht="14.25" customHeight="1" x14ac:dyDescent="0.2">
      <c r="B574" s="207" t="str">
        <f>Amortization!B549</f>
        <v/>
      </c>
      <c r="C574" s="12" t="str">
        <f>IF(B574&lt;=$D$10,0,Amortization!L549)</f>
        <v/>
      </c>
    </row>
    <row r="575" spans="2:3" ht="14.25" customHeight="1" x14ac:dyDescent="0.2">
      <c r="B575" s="207" t="str">
        <f>Amortization!B550</f>
        <v/>
      </c>
      <c r="C575" s="12" t="str">
        <f>IF(B575&lt;=$D$10,0,Amortization!L550)</f>
        <v/>
      </c>
    </row>
    <row r="576" spans="2:3" ht="14.25" customHeight="1" x14ac:dyDescent="0.2">
      <c r="B576" s="207" t="str">
        <f>Amortization!B551</f>
        <v/>
      </c>
      <c r="C576" s="12" t="str">
        <f>IF(B576&lt;=$D$10,0,Amortization!L551)</f>
        <v/>
      </c>
    </row>
    <row r="577" spans="2:3" ht="14.25" customHeight="1" x14ac:dyDescent="0.2">
      <c r="B577" s="207" t="str">
        <f>Amortization!B552</f>
        <v/>
      </c>
      <c r="C577" s="12" t="str">
        <f>IF(B577&lt;=$D$10,0,Amortization!L552)</f>
        <v/>
      </c>
    </row>
    <row r="578" spans="2:3" ht="14.25" customHeight="1" x14ac:dyDescent="0.2">
      <c r="B578" s="207" t="str">
        <f>Amortization!B553</f>
        <v/>
      </c>
      <c r="C578" s="12" t="str">
        <f>IF(B578&lt;=$D$10,0,Amortization!L553)</f>
        <v/>
      </c>
    </row>
    <row r="579" spans="2:3" ht="14.25" customHeight="1" x14ac:dyDescent="0.2">
      <c r="B579" s="207" t="str">
        <f>Amortization!B554</f>
        <v/>
      </c>
      <c r="C579" s="12" t="str">
        <f>IF(B579&lt;=$D$10,0,Amortization!L554)</f>
        <v/>
      </c>
    </row>
    <row r="580" spans="2:3" ht="14.25" customHeight="1" x14ac:dyDescent="0.2">
      <c r="B580" s="207" t="str">
        <f>Amortization!B555</f>
        <v/>
      </c>
      <c r="C580" s="12" t="str">
        <f>IF(B580&lt;=$D$10,0,Amortization!L555)</f>
        <v/>
      </c>
    </row>
    <row r="581" spans="2:3" ht="14.25" customHeight="1" x14ac:dyDescent="0.2">
      <c r="B581" s="207" t="str">
        <f>Amortization!B556</f>
        <v/>
      </c>
      <c r="C581" s="12" t="str">
        <f>IF(B581&lt;=$D$10,0,Amortization!L556)</f>
        <v/>
      </c>
    </row>
    <row r="582" spans="2:3" ht="14.25" customHeight="1" x14ac:dyDescent="0.2">
      <c r="B582" s="207" t="str">
        <f>Amortization!B557</f>
        <v/>
      </c>
      <c r="C582" s="12" t="str">
        <f>IF(B582&lt;=$D$10,0,Amortization!L557)</f>
        <v/>
      </c>
    </row>
    <row r="583" spans="2:3" ht="14.25" customHeight="1" x14ac:dyDescent="0.2">
      <c r="B583" s="207" t="str">
        <f>Amortization!B558</f>
        <v/>
      </c>
      <c r="C583" s="12" t="str">
        <f>IF(B583&lt;=$D$10,0,Amortization!L558)</f>
        <v/>
      </c>
    </row>
    <row r="584" spans="2:3" ht="14.25" customHeight="1" x14ac:dyDescent="0.2">
      <c r="B584" s="207" t="str">
        <f>Amortization!B559</f>
        <v/>
      </c>
      <c r="C584" s="12" t="str">
        <f>IF(B584&lt;=$D$10,0,Amortization!L559)</f>
        <v/>
      </c>
    </row>
    <row r="585" spans="2:3" ht="14.25" customHeight="1" x14ac:dyDescent="0.2">
      <c r="B585" s="207" t="str">
        <f>Amortization!B560</f>
        <v/>
      </c>
      <c r="C585" s="12" t="str">
        <f>IF(B585&lt;=$D$10,0,Amortization!L560)</f>
        <v/>
      </c>
    </row>
    <row r="586" spans="2:3" ht="14.25" customHeight="1" x14ac:dyDescent="0.2">
      <c r="B586" s="207" t="str">
        <f>Amortization!B561</f>
        <v/>
      </c>
      <c r="C586" s="12" t="str">
        <f>IF(B586&lt;=$D$10,0,Amortization!L561)</f>
        <v/>
      </c>
    </row>
    <row r="587" spans="2:3" ht="14.25" customHeight="1" x14ac:dyDescent="0.2">
      <c r="B587" s="207" t="str">
        <f>Amortization!B562</f>
        <v/>
      </c>
      <c r="C587" s="12" t="str">
        <f>IF(B587&lt;=$D$10,0,Amortization!L562)</f>
        <v/>
      </c>
    </row>
    <row r="588" spans="2:3" ht="14.25" customHeight="1" x14ac:dyDescent="0.2">
      <c r="B588" s="207" t="str">
        <f>Amortization!B563</f>
        <v/>
      </c>
      <c r="C588" s="12" t="str">
        <f>IF(B588&lt;=$D$10,0,Amortization!L563)</f>
        <v/>
      </c>
    </row>
    <row r="589" spans="2:3" ht="14.25" customHeight="1" x14ac:dyDescent="0.2">
      <c r="B589" s="207" t="str">
        <f>Amortization!B564</f>
        <v/>
      </c>
      <c r="C589" s="12" t="str">
        <f>IF(B589&lt;=$D$10,0,Amortization!L564)</f>
        <v/>
      </c>
    </row>
    <row r="590" spans="2:3" ht="14.25" customHeight="1" x14ac:dyDescent="0.2">
      <c r="B590" s="207" t="str">
        <f>Amortization!B565</f>
        <v/>
      </c>
      <c r="C590" s="12" t="str">
        <f>IF(B590&lt;=$D$10,0,Amortization!L565)</f>
        <v/>
      </c>
    </row>
    <row r="591" spans="2:3" ht="14.25" customHeight="1" x14ac:dyDescent="0.2">
      <c r="B591" s="207" t="str">
        <f>Amortization!B566</f>
        <v/>
      </c>
      <c r="C591" s="12" t="str">
        <f>IF(B591&lt;=$D$10,0,Amortization!L566)</f>
        <v/>
      </c>
    </row>
    <row r="592" spans="2:3" ht="14.25" customHeight="1" x14ac:dyDescent="0.2">
      <c r="B592" s="207" t="str">
        <f>Amortization!B567</f>
        <v/>
      </c>
      <c r="C592" s="12" t="str">
        <f>IF(B592&lt;=$D$10,0,Amortization!L567)</f>
        <v/>
      </c>
    </row>
    <row r="593" spans="2:3" ht="14.25" customHeight="1" x14ac:dyDescent="0.2">
      <c r="B593" s="207" t="str">
        <f>Amortization!B568</f>
        <v/>
      </c>
      <c r="C593" s="12" t="str">
        <f>IF(B593&lt;=$D$10,0,Amortization!L568)</f>
        <v/>
      </c>
    </row>
    <row r="594" spans="2:3" ht="14.25" customHeight="1" x14ac:dyDescent="0.2">
      <c r="B594" s="207" t="str">
        <f>Amortization!B569</f>
        <v/>
      </c>
      <c r="C594" s="12" t="str">
        <f>IF(B594&lt;=$D$10,0,Amortization!L569)</f>
        <v/>
      </c>
    </row>
    <row r="595" spans="2:3" ht="14.25" customHeight="1" x14ac:dyDescent="0.2">
      <c r="B595" s="207" t="str">
        <f>Amortization!B570</f>
        <v/>
      </c>
      <c r="C595" s="12" t="str">
        <f>IF(B595&lt;=$D$10,0,Amortization!L570)</f>
        <v/>
      </c>
    </row>
    <row r="596" spans="2:3" ht="14.25" customHeight="1" x14ac:dyDescent="0.2">
      <c r="B596" s="207" t="str">
        <f>Amortization!B571</f>
        <v/>
      </c>
      <c r="C596" s="12" t="str">
        <f>IF(B596&lt;=$D$10,0,Amortization!L571)</f>
        <v/>
      </c>
    </row>
    <row r="597" spans="2:3" ht="14.25" customHeight="1" x14ac:dyDescent="0.2">
      <c r="B597" s="207" t="str">
        <f>Amortization!B572</f>
        <v/>
      </c>
      <c r="C597" s="12" t="str">
        <f>IF(B597&lt;=$D$10,0,Amortization!L572)</f>
        <v/>
      </c>
    </row>
    <row r="598" spans="2:3" ht="14.25" customHeight="1" x14ac:dyDescent="0.2">
      <c r="B598" s="207" t="str">
        <f>Amortization!B573</f>
        <v/>
      </c>
      <c r="C598" s="12" t="str">
        <f>IF(B598&lt;=$D$10,0,Amortization!L573)</f>
        <v/>
      </c>
    </row>
    <row r="599" spans="2:3" ht="14.25" customHeight="1" x14ac:dyDescent="0.2">
      <c r="B599" s="207" t="str">
        <f>Amortization!B574</f>
        <v/>
      </c>
      <c r="C599" s="12" t="str">
        <f>IF(B599&lt;=$D$10,0,Amortization!L574)</f>
        <v/>
      </c>
    </row>
    <row r="600" spans="2:3" ht="14.25" customHeight="1" x14ac:dyDescent="0.2">
      <c r="B600" s="207" t="str">
        <f>Amortization!B575</f>
        <v/>
      </c>
      <c r="C600" s="12" t="str">
        <f>IF(B600&lt;=$D$10,0,Amortization!L575)</f>
        <v/>
      </c>
    </row>
    <row r="601" spans="2:3" ht="14.25" customHeight="1" x14ac:dyDescent="0.2">
      <c r="B601" s="207" t="str">
        <f>Amortization!B576</f>
        <v/>
      </c>
      <c r="C601" s="12" t="str">
        <f>IF(B601&lt;=$D$10,0,Amortization!L576)</f>
        <v/>
      </c>
    </row>
    <row r="602" spans="2:3" ht="14.25" customHeight="1" x14ac:dyDescent="0.2">
      <c r="B602" s="207" t="str">
        <f>Amortization!B577</f>
        <v/>
      </c>
      <c r="C602" s="12" t="str">
        <f>IF(B602&lt;=$D$10,0,Amortization!L577)</f>
        <v/>
      </c>
    </row>
    <row r="603" spans="2:3" ht="14.25" customHeight="1" x14ac:dyDescent="0.2">
      <c r="B603" s="207" t="str">
        <f>Amortization!B578</f>
        <v/>
      </c>
      <c r="C603" s="12" t="str">
        <f>IF(B603&lt;=$D$10,0,Amortization!L578)</f>
        <v/>
      </c>
    </row>
    <row r="604" spans="2:3" ht="14.25" customHeight="1" x14ac:dyDescent="0.2">
      <c r="B604" s="207" t="str">
        <f>Amortization!B579</f>
        <v/>
      </c>
      <c r="C604" s="12" t="str">
        <f>IF(B604&lt;=$D$10,0,Amortization!L579)</f>
        <v/>
      </c>
    </row>
    <row r="605" spans="2:3" ht="14.25" customHeight="1" x14ac:dyDescent="0.2">
      <c r="B605" s="207" t="str">
        <f>Amortization!B580</f>
        <v/>
      </c>
      <c r="C605" s="12" t="str">
        <f>IF(B605&lt;=$D$10,0,Amortization!L580)</f>
        <v/>
      </c>
    </row>
    <row r="606" spans="2:3" ht="14.25" customHeight="1" x14ac:dyDescent="0.2">
      <c r="B606" s="207" t="str">
        <f>Amortization!B581</f>
        <v/>
      </c>
      <c r="C606" s="12" t="str">
        <f>IF(B606&lt;=$D$10,0,Amortization!L581)</f>
        <v/>
      </c>
    </row>
    <row r="607" spans="2:3" ht="14.25" customHeight="1" x14ac:dyDescent="0.2">
      <c r="B607" s="207" t="str">
        <f>Amortization!B582</f>
        <v/>
      </c>
      <c r="C607" s="12" t="str">
        <f>IF(B607&lt;=$D$10,0,Amortization!L582)</f>
        <v/>
      </c>
    </row>
    <row r="608" spans="2:3" ht="14.25" customHeight="1" x14ac:dyDescent="0.2">
      <c r="B608" s="207" t="str">
        <f>Amortization!B583</f>
        <v/>
      </c>
      <c r="C608" s="12" t="str">
        <f>IF(B608&lt;=$D$10,0,Amortization!L583)</f>
        <v/>
      </c>
    </row>
    <row r="609" spans="2:3" ht="14.25" customHeight="1" x14ac:dyDescent="0.2">
      <c r="B609" s="207" t="str">
        <f>Amortization!B584</f>
        <v/>
      </c>
      <c r="C609" s="12" t="str">
        <f>IF(B609&lt;=$D$10,0,Amortization!L584)</f>
        <v/>
      </c>
    </row>
    <row r="610" spans="2:3" ht="14.25" customHeight="1" x14ac:dyDescent="0.2">
      <c r="B610" s="207" t="str">
        <f>Amortization!B585</f>
        <v/>
      </c>
      <c r="C610" s="12" t="str">
        <f>IF(B610&lt;=$D$10,0,Amortization!L585)</f>
        <v/>
      </c>
    </row>
    <row r="611" spans="2:3" ht="14.25" customHeight="1" x14ac:dyDescent="0.2">
      <c r="B611" s="207" t="str">
        <f>Amortization!B586</f>
        <v/>
      </c>
      <c r="C611" s="12" t="str">
        <f>IF(B611&lt;=$D$10,0,Amortization!L586)</f>
        <v/>
      </c>
    </row>
    <row r="612" spans="2:3" ht="14.25" customHeight="1" x14ac:dyDescent="0.2">
      <c r="B612" s="207" t="str">
        <f>Amortization!B587</f>
        <v/>
      </c>
      <c r="C612" s="12" t="str">
        <f>IF(B612&lt;=$D$10,0,Amortization!L587)</f>
        <v/>
      </c>
    </row>
    <row r="613" spans="2:3" ht="14.25" customHeight="1" x14ac:dyDescent="0.2">
      <c r="B613" s="207" t="str">
        <f>Amortization!B588</f>
        <v/>
      </c>
      <c r="C613" s="12" t="str">
        <f>IF(B613&lt;=$D$10,0,Amortization!L588)</f>
        <v/>
      </c>
    </row>
    <row r="614" spans="2:3" ht="14.25" customHeight="1" x14ac:dyDescent="0.2">
      <c r="B614" s="207" t="str">
        <f>Amortization!B589</f>
        <v/>
      </c>
      <c r="C614" s="12" t="str">
        <f>IF(B614&lt;=$D$10,0,Amortization!L589)</f>
        <v/>
      </c>
    </row>
    <row r="615" spans="2:3" ht="14.25" customHeight="1" x14ac:dyDescent="0.2">
      <c r="B615" s="207" t="str">
        <f>Amortization!B590</f>
        <v/>
      </c>
      <c r="C615" s="12" t="str">
        <f>IF(B615&lt;=$D$10,0,Amortization!L590)</f>
        <v/>
      </c>
    </row>
    <row r="616" spans="2:3" ht="14.25" customHeight="1" x14ac:dyDescent="0.2">
      <c r="B616" s="207" t="str">
        <f>Amortization!B591</f>
        <v/>
      </c>
      <c r="C616" s="12" t="str">
        <f>IF(B616&lt;=$D$10,0,Amortization!L591)</f>
        <v/>
      </c>
    </row>
    <row r="617" spans="2:3" ht="14.25" customHeight="1" x14ac:dyDescent="0.2">
      <c r="B617" s="207" t="str">
        <f>Amortization!B592</f>
        <v/>
      </c>
      <c r="C617" s="12" t="str">
        <f>IF(B617&lt;=$D$10,0,Amortization!L592)</f>
        <v/>
      </c>
    </row>
    <row r="618" spans="2:3" ht="14.25" customHeight="1" x14ac:dyDescent="0.2">
      <c r="B618" s="207" t="str">
        <f>Amortization!B593</f>
        <v/>
      </c>
      <c r="C618" s="12" t="str">
        <f>IF(B618&lt;=$D$10,0,Amortization!L593)</f>
        <v/>
      </c>
    </row>
    <row r="619" spans="2:3" ht="14.25" customHeight="1" x14ac:dyDescent="0.2">
      <c r="B619" s="207" t="str">
        <f>Amortization!B594</f>
        <v/>
      </c>
      <c r="C619" s="12" t="str">
        <f>IF(B619&lt;=$D$10,0,Amortization!L594)</f>
        <v/>
      </c>
    </row>
    <row r="620" spans="2:3" ht="14.25" customHeight="1" x14ac:dyDescent="0.2">
      <c r="B620" s="207" t="str">
        <f>Amortization!B595</f>
        <v/>
      </c>
      <c r="C620" s="12" t="str">
        <f>IF(B620&lt;=$D$10,0,Amortization!L595)</f>
        <v/>
      </c>
    </row>
    <row r="621" spans="2:3" ht="14.25" customHeight="1" x14ac:dyDescent="0.2">
      <c r="B621" s="207" t="str">
        <f>Amortization!B596</f>
        <v/>
      </c>
      <c r="C621" s="12" t="str">
        <f>IF(B621&lt;=$D$10,0,Amortization!L596)</f>
        <v/>
      </c>
    </row>
    <row r="622" spans="2:3" ht="14.25" customHeight="1" x14ac:dyDescent="0.2">
      <c r="B622" s="207" t="str">
        <f>Amortization!B597</f>
        <v/>
      </c>
      <c r="C622" s="12" t="str">
        <f>IF(B622&lt;=$D$10,0,Amortization!L597)</f>
        <v/>
      </c>
    </row>
    <row r="623" spans="2:3" ht="14.25" customHeight="1" x14ac:dyDescent="0.2">
      <c r="B623" s="207" t="str">
        <f>Amortization!B598</f>
        <v/>
      </c>
      <c r="C623" s="12" t="str">
        <f>IF(B623&lt;=$D$10,0,Amortization!L598)</f>
        <v/>
      </c>
    </row>
    <row r="624" spans="2:3" ht="14.25" customHeight="1" x14ac:dyDescent="0.2">
      <c r="B624" s="207" t="str">
        <f>Amortization!B599</f>
        <v/>
      </c>
      <c r="C624" s="12" t="str">
        <f>IF(B624&lt;=$D$10,0,Amortization!L599)</f>
        <v/>
      </c>
    </row>
    <row r="625" spans="2:3" ht="14.25" customHeight="1" x14ac:dyDescent="0.2">
      <c r="B625" s="207" t="str">
        <f>Amortization!B600</f>
        <v/>
      </c>
      <c r="C625" s="12" t="str">
        <f>IF(B625&lt;=$D$10,0,Amortization!L600)</f>
        <v/>
      </c>
    </row>
    <row r="626" spans="2:3" ht="14.25" customHeight="1" x14ac:dyDescent="0.2">
      <c r="B626" s="207" t="str">
        <f>Amortization!B601</f>
        <v/>
      </c>
      <c r="C626" s="12" t="str">
        <f>IF(B626&lt;=$D$10,0,Amortization!L601)</f>
        <v/>
      </c>
    </row>
    <row r="627" spans="2:3" ht="14.25" customHeight="1" x14ac:dyDescent="0.2">
      <c r="B627" s="207" t="str">
        <f>Amortization!B602</f>
        <v/>
      </c>
      <c r="C627" s="12" t="str">
        <f>IF(B627&lt;=$D$10,0,Amortization!L602)</f>
        <v/>
      </c>
    </row>
    <row r="628" spans="2:3" ht="14.25" customHeight="1" x14ac:dyDescent="0.2">
      <c r="B628" s="207" t="str">
        <f>Amortization!B603</f>
        <v/>
      </c>
      <c r="C628" s="12" t="str">
        <f>IF(B628&lt;=$D$10,0,Amortization!L603)</f>
        <v/>
      </c>
    </row>
    <row r="629" spans="2:3" ht="14.25" customHeight="1" x14ac:dyDescent="0.2">
      <c r="B629" s="207" t="str">
        <f>Amortization!B604</f>
        <v/>
      </c>
      <c r="C629" s="12" t="str">
        <f>IF(B629&lt;=$D$10,0,Amortization!L604)</f>
        <v/>
      </c>
    </row>
    <row r="630" spans="2:3" ht="14.25" customHeight="1" x14ac:dyDescent="0.2">
      <c r="B630" s="207" t="str">
        <f>Amortization!B605</f>
        <v/>
      </c>
      <c r="C630" s="12" t="str">
        <f>IF(B630&lt;=$D$10,0,Amortization!L605)</f>
        <v/>
      </c>
    </row>
  </sheetData>
  <mergeCells count="1">
    <mergeCell ref="C25:H25"/>
  </mergeCells>
  <dataValidations disablePrompts="1" count="2">
    <dataValidation type="list" allowBlank="1" showInputMessage="1" showErrorMessage="1" sqref="H12:H13" xr:uid="{72B995EC-7F7D-4E73-AE53-C9063E5FC161}">
      <formula1>List_Loan_Type</formula1>
    </dataValidation>
    <dataValidation type="list" allowBlank="1" showInputMessage="1" showErrorMessage="1" sqref="D11" xr:uid="{F7C5A2D2-77FC-44B8-B24A-3B22F96D65C2}">
      <formula1>"% of Balance, Yield Maintenance"</formula1>
    </dataValidation>
  </dataValidations>
  <hyperlinks>
    <hyperlink ref="C25" r:id="rId1" xr:uid="{9E372F58-2085-474E-88E0-B1C161FAAC7E}"/>
  </hyperlinks>
  <printOptions horizontalCentered="1"/>
  <pageMargins left="0.7" right="0.7" top="0.75" bottom="0.75" header="0.3" footer="0.3"/>
  <pageSetup scale="10" orientation="portrait" horizontalDpi="4294967294" r:id="rId2"/>
  <headerFooter>
    <oddFooter>&amp;CPAGE &amp;P OF &amp;N - LOAN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213DA-05EE-45AA-A026-F51E35A24687}">
  <sheetPr>
    <tabColor theme="7" tint="0.79998168889431442"/>
    <pageSetUpPr fitToPage="1"/>
  </sheetPr>
  <dimension ref="A1:W606"/>
  <sheetViews>
    <sheetView showGridLines="0" zoomScale="85" zoomScaleNormal="85" workbookViewId="0"/>
  </sheetViews>
  <sheetFormatPr defaultColWidth="0" defaultRowHeight="14.25" zeroHeight="1" x14ac:dyDescent="0.2"/>
  <cols>
    <col min="1" max="1" width="1.625" style="1" customWidth="1"/>
    <col min="2" max="2" width="10.125" style="1" bestFit="1" customWidth="1"/>
    <col min="3" max="3" width="5.25" style="1" bestFit="1" customWidth="1"/>
    <col min="4" max="4" width="10.125" style="1" bestFit="1" customWidth="1"/>
    <col min="5" max="5" width="3.625" style="1" bestFit="1" customWidth="1"/>
    <col min="6" max="6" width="9.125" style="1" bestFit="1" customWidth="1"/>
    <col min="7" max="7" width="10.75" style="14" bestFit="1" customWidth="1"/>
    <col min="8" max="8" width="8.875" style="1" customWidth="1"/>
    <col min="9" max="9" width="10.125" style="50" bestFit="1" customWidth="1"/>
    <col min="10" max="10" width="8.25" style="55" bestFit="1" customWidth="1"/>
    <col min="11" max="11" width="11.75" style="24" bestFit="1" customWidth="1"/>
    <col min="12" max="12" width="10.75" style="14" customWidth="1"/>
    <col min="13" max="13" width="1.625" style="1" customWidth="1"/>
    <col min="14" max="14" width="10.75" style="1" customWidth="1"/>
    <col min="15" max="15" width="12.75" style="1" customWidth="1"/>
    <col min="16" max="16" width="12.875" style="1" bestFit="1" customWidth="1"/>
    <col min="17" max="17" width="8.875" style="1" customWidth="1"/>
    <col min="18" max="18" width="1.625" style="1" customWidth="1"/>
    <col min="19" max="19" width="9.75" style="1" customWidth="1"/>
    <col min="20" max="20" width="10.125" style="1" bestFit="1" customWidth="1"/>
    <col min="21" max="22" width="8.875" style="1" customWidth="1"/>
    <col min="23" max="23" width="1.625" style="1" customWidth="1"/>
    <col min="24" max="16384" width="8.875" style="1" hidden="1"/>
  </cols>
  <sheetData>
    <row r="1" spans="2:22" ht="5.0999999999999996" customHeight="1" x14ac:dyDescent="0.2">
      <c r="G1" s="1"/>
      <c r="J1" s="50"/>
      <c r="K1" s="18"/>
      <c r="L1" s="1"/>
    </row>
    <row r="2" spans="2:22" s="3" customFormat="1" ht="18" x14ac:dyDescent="0.25">
      <c r="B2" s="21" t="s">
        <v>175</v>
      </c>
      <c r="C2" s="21"/>
      <c r="D2" s="2"/>
      <c r="E2" s="2"/>
      <c r="F2" s="2"/>
      <c r="G2" s="2"/>
      <c r="H2" s="2"/>
      <c r="I2" s="51"/>
      <c r="J2" s="51"/>
      <c r="K2" s="39"/>
      <c r="L2" s="2"/>
      <c r="N2" s="221" t="s">
        <v>209</v>
      </c>
      <c r="O2" s="180"/>
      <c r="P2" s="180"/>
      <c r="Q2" s="180"/>
      <c r="S2" s="221" t="s">
        <v>258</v>
      </c>
      <c r="T2" s="180"/>
      <c r="U2" s="180"/>
      <c r="V2" s="180"/>
    </row>
    <row r="3" spans="2:22" s="3" customFormat="1" x14ac:dyDescent="0.2">
      <c r="B3" s="2" t="str">
        <f>UPPER(Inv_Name)</f>
        <v>[INVESTMENT NAME]</v>
      </c>
      <c r="C3" s="2"/>
      <c r="D3" s="2"/>
      <c r="E3" s="2"/>
      <c r="F3" s="2"/>
      <c r="G3" s="4"/>
      <c r="H3" s="4"/>
      <c r="I3" s="51"/>
      <c r="J3" s="52"/>
      <c r="K3" s="5"/>
      <c r="L3" s="4" t="str">
        <f>Inv_Number</f>
        <v>[12345]</v>
      </c>
      <c r="N3" s="181"/>
      <c r="O3" s="181"/>
      <c r="P3" s="181"/>
      <c r="Q3" s="181"/>
      <c r="S3" s="214"/>
      <c r="T3" s="215" t="s">
        <v>257</v>
      </c>
      <c r="U3" s="216" t="s">
        <v>260</v>
      </c>
      <c r="V3" s="181"/>
    </row>
    <row r="4" spans="2:22" s="3" customFormat="1" x14ac:dyDescent="0.2">
      <c r="B4" s="36" t="s">
        <v>176</v>
      </c>
      <c r="C4" s="36" t="s">
        <v>193</v>
      </c>
      <c r="D4" s="36" t="s">
        <v>177</v>
      </c>
      <c r="E4" s="36" t="s">
        <v>188</v>
      </c>
      <c r="F4" s="36" t="s">
        <v>189</v>
      </c>
      <c r="G4" s="36" t="s">
        <v>181</v>
      </c>
      <c r="H4" s="36" t="s">
        <v>178</v>
      </c>
      <c r="I4" s="36" t="s">
        <v>179</v>
      </c>
      <c r="J4" s="36" t="s">
        <v>180</v>
      </c>
      <c r="K4" s="36" t="s">
        <v>182</v>
      </c>
      <c r="L4" s="36" t="s">
        <v>183</v>
      </c>
      <c r="N4" s="179" t="s">
        <v>210</v>
      </c>
      <c r="O4" s="179" t="s">
        <v>211</v>
      </c>
      <c r="P4" s="179" t="s">
        <v>212</v>
      </c>
      <c r="Q4" s="179" t="s">
        <v>213</v>
      </c>
      <c r="S4" s="179" t="s">
        <v>259</v>
      </c>
      <c r="T4" s="179" t="str">
        <f>U3&amp;" Rate"</f>
        <v>SOFR Rate</v>
      </c>
      <c r="U4" s="179" t="s">
        <v>91</v>
      </c>
      <c r="V4" s="179" t="s">
        <v>189</v>
      </c>
    </row>
    <row r="5" spans="2:22" x14ac:dyDescent="0.2">
      <c r="B5" s="126">
        <v>0</v>
      </c>
      <c r="C5" s="128"/>
      <c r="D5" s="127">
        <f>'Loan Terms'!C12</f>
        <v>45094</v>
      </c>
      <c r="E5" s="129"/>
      <c r="F5" s="101"/>
      <c r="G5" s="12"/>
      <c r="H5" s="222"/>
      <c r="I5" s="12"/>
      <c r="J5" s="130"/>
      <c r="K5" s="12"/>
      <c r="L5" s="12">
        <f>-'Loan Terms'!H26+'Loan Terms'!H22</f>
        <v>-6041329.9493212681</v>
      </c>
      <c r="N5" s="14"/>
      <c r="O5" s="14">
        <f>SUM(N6:N605)</f>
        <v>721411503.67170799</v>
      </c>
      <c r="P5" s="14">
        <f>SUM(I6:I605)</f>
        <v>6102353.4841629006</v>
      </c>
      <c r="Q5" s="15">
        <f>+O5/P5/12</f>
        <v>9.8515475155602843</v>
      </c>
      <c r="S5" s="217"/>
      <c r="T5" s="14"/>
      <c r="U5" s="14"/>
      <c r="V5" s="15"/>
    </row>
    <row r="6" spans="2:22" x14ac:dyDescent="0.2">
      <c r="B6" s="126">
        <f>IF(OR(B5="",B5='Loan Terms'!$H$9*12),"",B5+1)</f>
        <v>1</v>
      </c>
      <c r="C6" s="128">
        <f>IF(B6="","",IF('Loan Terms'!$H$15="30/360",30,D6-D5))</f>
        <v>30</v>
      </c>
      <c r="D6" s="129">
        <f>IF(B6="","",EDATE(D5,1))</f>
        <v>45124</v>
      </c>
      <c r="E6" s="129" t="str">
        <f>IF(B6="","",IF(B6&lt;='Loan Terms'!$G$10,"Yes","No"))</f>
        <v>Yes</v>
      </c>
      <c r="F6" s="101">
        <f>IF(B6="","",IF('Loan Terms'!$C$13="Fixed",'Loan Terms'!$H$17,V6))</f>
        <v>6.5000000000000002E-2</v>
      </c>
      <c r="G6" s="12">
        <f>IF(B6="","",'Loan Terms'!$H$26)</f>
        <v>6102353.4841628969</v>
      </c>
      <c r="H6" s="12">
        <f>IF(G6="","",IF('Loan Terms'!$C$13="Fixed",(E6="Yes")*J6+(E6="No")*'Loan Terms'!$H$19,PMT(F6/12,'Loan Terms'!$G$11-B6+1,-G6)))</f>
        <v>33054.414705882358</v>
      </c>
      <c r="I6" s="12">
        <f>IF(B6="","",IF(B6='Loan Terms'!$H$9*12,G6,H6-J6))</f>
        <v>0</v>
      </c>
      <c r="J6" s="130">
        <f>IF(B6="","",IF('Loan Terms'!$H$15="Actual/365",F6*(C6/365),F6*(C6/360))*G6)</f>
        <v>33054.414705882358</v>
      </c>
      <c r="K6" s="12">
        <f t="shared" ref="K6:K69" si="0">IF(B6="","",G6-I6)</f>
        <v>6102353.4841628969</v>
      </c>
      <c r="L6" s="130">
        <f>IF(B6="","",J6+I6)</f>
        <v>33054.414705882358</v>
      </c>
      <c r="N6" s="14">
        <f>IF(B6="","",I6*B6)</f>
        <v>0</v>
      </c>
      <c r="S6" s="217">
        <f t="shared" ref="S6:S69" si="1">D6</f>
        <v>45124</v>
      </c>
      <c r="T6" s="218">
        <v>1.9599999999999999E-2</v>
      </c>
      <c r="U6" s="219">
        <f>IF(S6="","",'Loan Terms'!$H$14)</f>
        <v>225</v>
      </c>
      <c r="V6" s="220">
        <f>IF(S6="","",T6+U6/10000)</f>
        <v>4.2099999999999999E-2</v>
      </c>
    </row>
    <row r="7" spans="2:22" x14ac:dyDescent="0.2">
      <c r="B7" s="126">
        <f>IF(OR(B6="",B6='Loan Terms'!$H$9*12),"",B6+1)</f>
        <v>2</v>
      </c>
      <c r="C7" s="128">
        <f>IF(B7="","",IF('Loan Terms'!$H$15="30/360",30,D7-D6))</f>
        <v>30</v>
      </c>
      <c r="D7" s="129">
        <f t="shared" ref="D7:D70" si="2">IF(B7="","",EDATE(D6,1))</f>
        <v>45155</v>
      </c>
      <c r="E7" s="129" t="str">
        <f>IF(B7="","",IF(B7&lt;='Loan Terms'!$G$10,"Yes","No"))</f>
        <v>Yes</v>
      </c>
      <c r="F7" s="101">
        <f>IF(B7="","",IF('Loan Terms'!$C$13="Fixed",'Loan Terms'!$H$17,V7))</f>
        <v>6.5000000000000002E-2</v>
      </c>
      <c r="G7" s="12">
        <f t="shared" ref="G7:G70" si="3">IF(B7="","",K6)</f>
        <v>6102353.4841628969</v>
      </c>
      <c r="H7" s="12">
        <f>IF(G7="","",IF('Loan Terms'!$C$13="Fixed",(E7="Yes")*J7+(E7="No")*'Loan Terms'!$H$19,PMT(F7/12,'Loan Terms'!$G$11-B7+1,-G7)))</f>
        <v>33054.414705882358</v>
      </c>
      <c r="I7" s="12">
        <f>IF(B7="","",IF(B7='Loan Terms'!$H$9*12,G7,H7-J7))</f>
        <v>0</v>
      </c>
      <c r="J7" s="130">
        <f>IF(B7="","",IF('Loan Terms'!$H$15="Actual/365",F7*(C7/365),F7*(C7/360))*G7)</f>
        <v>33054.414705882358</v>
      </c>
      <c r="K7" s="12">
        <f t="shared" si="0"/>
        <v>6102353.4841628969</v>
      </c>
      <c r="L7" s="130">
        <f t="shared" ref="L7:L70" si="4">IF(B7="","",J7+I7)</f>
        <v>33054.414705882358</v>
      </c>
      <c r="N7" s="14">
        <f t="shared" ref="N7:N70" si="5">IF(B7="","",I7*B7)</f>
        <v>0</v>
      </c>
      <c r="S7" s="217">
        <f t="shared" si="1"/>
        <v>45155</v>
      </c>
      <c r="T7" s="218">
        <v>2.2599999999999999E-2</v>
      </c>
      <c r="U7" s="219">
        <f>IF(S7="","",'Loan Terms'!$H$14)</f>
        <v>225</v>
      </c>
      <c r="V7" s="220">
        <f t="shared" ref="V7:V70" si="6">IF(S7="","",T7+U7/10000)</f>
        <v>4.5100000000000001E-2</v>
      </c>
    </row>
    <row r="8" spans="2:22" x14ac:dyDescent="0.2">
      <c r="B8" s="126">
        <f>IF(OR(B7="",B7='Loan Terms'!$H$9*12),"",B7+1)</f>
        <v>3</v>
      </c>
      <c r="C8" s="128">
        <f>IF(B8="","",IF('Loan Terms'!$H$15="30/360",30,D8-D7))</f>
        <v>30</v>
      </c>
      <c r="D8" s="129">
        <f t="shared" si="2"/>
        <v>45186</v>
      </c>
      <c r="E8" s="129" t="str">
        <f>IF(B8="","",IF(B8&lt;='Loan Terms'!$G$10,"Yes","No"))</f>
        <v>Yes</v>
      </c>
      <c r="F8" s="101">
        <f>IF(B8="","",IF('Loan Terms'!$C$13="Fixed",'Loan Terms'!$H$17,V8))</f>
        <v>6.5000000000000002E-2</v>
      </c>
      <c r="G8" s="12">
        <f t="shared" si="3"/>
        <v>6102353.4841628969</v>
      </c>
      <c r="H8" s="12">
        <f>IF(G8="","",IF('Loan Terms'!$C$13="Fixed",(E8="Yes")*J8+(E8="No")*'Loan Terms'!$H$19,PMT(F8/12,'Loan Terms'!$G$11-B8+1,-G8)))</f>
        <v>33054.414705882358</v>
      </c>
      <c r="I8" s="12">
        <f>IF(B8="","",IF(B8='Loan Terms'!$H$9*12,G8,H8-J8))</f>
        <v>0</v>
      </c>
      <c r="J8" s="130">
        <f>IF(B8="","",IF('Loan Terms'!$H$15="Actual/365",F8*(C8/365),F8*(C8/360))*G8)</f>
        <v>33054.414705882358</v>
      </c>
      <c r="K8" s="12">
        <f t="shared" si="0"/>
        <v>6102353.4841628969</v>
      </c>
      <c r="L8" s="130">
        <f t="shared" si="4"/>
        <v>33054.414705882358</v>
      </c>
      <c r="N8" s="14">
        <f t="shared" si="5"/>
        <v>0</v>
      </c>
      <c r="S8" s="217">
        <f t="shared" si="1"/>
        <v>45186</v>
      </c>
      <c r="T8" s="218">
        <v>2.6499999999999999E-2</v>
      </c>
      <c r="U8" s="219">
        <f>IF(S8="","",'Loan Terms'!$H$14)</f>
        <v>225</v>
      </c>
      <c r="V8" s="220">
        <f t="shared" si="6"/>
        <v>4.9000000000000002E-2</v>
      </c>
    </row>
    <row r="9" spans="2:22" x14ac:dyDescent="0.2">
      <c r="B9" s="126">
        <f>IF(OR(B8="",B8='Loan Terms'!$H$9*12),"",B8+1)</f>
        <v>4</v>
      </c>
      <c r="C9" s="128">
        <f>IF(B9="","",IF('Loan Terms'!$H$15="30/360",30,D9-D8))</f>
        <v>30</v>
      </c>
      <c r="D9" s="129">
        <f t="shared" si="2"/>
        <v>45216</v>
      </c>
      <c r="E9" s="129" t="str">
        <f>IF(B9="","",IF(B9&lt;='Loan Terms'!$G$10,"Yes","No"))</f>
        <v>Yes</v>
      </c>
      <c r="F9" s="101">
        <f>IF(B9="","",IF('Loan Terms'!$C$13="Fixed",'Loan Terms'!$H$17,V9))</f>
        <v>6.5000000000000002E-2</v>
      </c>
      <c r="G9" s="12">
        <f t="shared" si="3"/>
        <v>6102353.4841628969</v>
      </c>
      <c r="H9" s="12">
        <f>IF(G9="","",IF('Loan Terms'!$C$13="Fixed",(E9="Yes")*J9+(E9="No")*'Loan Terms'!$H$19,PMT(F9/12,'Loan Terms'!$G$11-B9+1,-G9)))</f>
        <v>33054.414705882358</v>
      </c>
      <c r="I9" s="12">
        <f>IF(B9="","",IF(B9='Loan Terms'!$H$9*12,G9,H9-J9))</f>
        <v>0</v>
      </c>
      <c r="J9" s="130">
        <f>IF(B9="","",IF('Loan Terms'!$H$15="Actual/365",F9*(C9/365),F9*(C9/360))*G9)</f>
        <v>33054.414705882358</v>
      </c>
      <c r="K9" s="12">
        <f t="shared" si="0"/>
        <v>6102353.4841628969</v>
      </c>
      <c r="L9" s="130">
        <f t="shared" si="4"/>
        <v>33054.414705882358</v>
      </c>
      <c r="N9" s="14">
        <f t="shared" si="5"/>
        <v>0</v>
      </c>
      <c r="S9" s="217">
        <f t="shared" si="1"/>
        <v>45216</v>
      </c>
      <c r="T9" s="218">
        <v>2.9700000000000001E-2</v>
      </c>
      <c r="U9" s="219">
        <f>IF(S9="","",'Loan Terms'!$H$14)</f>
        <v>225</v>
      </c>
      <c r="V9" s="220">
        <f t="shared" si="6"/>
        <v>5.2199999999999996E-2</v>
      </c>
    </row>
    <row r="10" spans="2:22" x14ac:dyDescent="0.2">
      <c r="B10" s="126">
        <f>IF(OR(B9="",B9='Loan Terms'!$H$9*12),"",B9+1)</f>
        <v>5</v>
      </c>
      <c r="C10" s="128">
        <f>IF(B10="","",IF('Loan Terms'!$H$15="30/360",30,D10-D9))</f>
        <v>30</v>
      </c>
      <c r="D10" s="129">
        <f t="shared" si="2"/>
        <v>45247</v>
      </c>
      <c r="E10" s="129" t="str">
        <f>IF(B10="","",IF(B10&lt;='Loan Terms'!$G$10,"Yes","No"))</f>
        <v>Yes</v>
      </c>
      <c r="F10" s="101">
        <f>IF(B10="","",IF('Loan Terms'!$C$13="Fixed",'Loan Terms'!$H$17,V10))</f>
        <v>6.5000000000000002E-2</v>
      </c>
      <c r="G10" s="12">
        <f t="shared" si="3"/>
        <v>6102353.4841628969</v>
      </c>
      <c r="H10" s="12">
        <f>IF(G10="","",IF('Loan Terms'!$C$13="Fixed",(E10="Yes")*J10+(E10="No")*'Loan Terms'!$H$19,PMT(F10/12,'Loan Terms'!$G$11-B10+1,-G10)))</f>
        <v>33054.414705882358</v>
      </c>
      <c r="I10" s="12">
        <f>IF(B10="","",IF(B10='Loan Terms'!$H$9*12,G10,H10-J10))</f>
        <v>0</v>
      </c>
      <c r="J10" s="130">
        <f>IF(B10="","",IF('Loan Terms'!$H$15="Actual/365",F10*(C10/365),F10*(C10/360))*G10)</f>
        <v>33054.414705882358</v>
      </c>
      <c r="K10" s="12">
        <f t="shared" si="0"/>
        <v>6102353.4841628969</v>
      </c>
      <c r="L10" s="130">
        <f t="shared" si="4"/>
        <v>33054.414705882358</v>
      </c>
      <c r="N10" s="14">
        <f t="shared" si="5"/>
        <v>0</v>
      </c>
      <c r="S10" s="217">
        <f t="shared" si="1"/>
        <v>45247</v>
      </c>
      <c r="T10" s="218">
        <v>3.3099999999999997E-2</v>
      </c>
      <c r="U10" s="219">
        <f>IF(S10="","",'Loan Terms'!$H$14)</f>
        <v>225</v>
      </c>
      <c r="V10" s="220">
        <f t="shared" si="6"/>
        <v>5.5599999999999997E-2</v>
      </c>
    </row>
    <row r="11" spans="2:22" x14ac:dyDescent="0.2">
      <c r="B11" s="126">
        <f>IF(OR(B10="",B10='Loan Terms'!$H$9*12),"",B10+1)</f>
        <v>6</v>
      </c>
      <c r="C11" s="128">
        <f>IF(B11="","",IF('Loan Terms'!$H$15="30/360",30,D11-D10))</f>
        <v>30</v>
      </c>
      <c r="D11" s="129">
        <f t="shared" si="2"/>
        <v>45277</v>
      </c>
      <c r="E11" s="129" t="str">
        <f>IF(B11="","",IF(B11&lt;='Loan Terms'!$G$10,"Yes","No"))</f>
        <v>Yes</v>
      </c>
      <c r="F11" s="101">
        <f>IF(B11="","",IF('Loan Terms'!$C$13="Fixed",'Loan Terms'!$H$17,V11))</f>
        <v>6.5000000000000002E-2</v>
      </c>
      <c r="G11" s="12">
        <f t="shared" si="3"/>
        <v>6102353.4841628969</v>
      </c>
      <c r="H11" s="12">
        <f>IF(G11="","",IF('Loan Terms'!$C$13="Fixed",(E11="Yes")*J11+(E11="No")*'Loan Terms'!$H$19,PMT(F11/12,'Loan Terms'!$G$11-B11+1,-G11)))</f>
        <v>33054.414705882358</v>
      </c>
      <c r="I11" s="12">
        <f>IF(B11="","",IF(B11='Loan Terms'!$H$9*12,G11,H11-J11))</f>
        <v>0</v>
      </c>
      <c r="J11" s="130">
        <f>IF(B11="","",IF('Loan Terms'!$H$15="Actual/365",F11*(C11/365),F11*(C11/360))*G11)</f>
        <v>33054.414705882358</v>
      </c>
      <c r="K11" s="12">
        <f t="shared" si="0"/>
        <v>6102353.4841628969</v>
      </c>
      <c r="L11" s="130">
        <f t="shared" si="4"/>
        <v>33054.414705882358</v>
      </c>
      <c r="N11" s="14">
        <f t="shared" si="5"/>
        <v>0</v>
      </c>
      <c r="S11" s="217">
        <f t="shared" si="1"/>
        <v>45277</v>
      </c>
      <c r="T11" s="218">
        <v>3.5499999999999997E-2</v>
      </c>
      <c r="U11" s="219">
        <f>IF(S11="","",'Loan Terms'!$H$14)</f>
        <v>225</v>
      </c>
      <c r="V11" s="220">
        <f t="shared" si="6"/>
        <v>5.7999999999999996E-2</v>
      </c>
    </row>
    <row r="12" spans="2:22" x14ac:dyDescent="0.2">
      <c r="B12" s="126">
        <f>IF(OR(B11="",B11='Loan Terms'!$H$9*12),"",B11+1)</f>
        <v>7</v>
      </c>
      <c r="C12" s="128">
        <f>IF(B12="","",IF('Loan Terms'!$H$15="30/360",30,D12-D11))</f>
        <v>30</v>
      </c>
      <c r="D12" s="129">
        <f t="shared" si="2"/>
        <v>45308</v>
      </c>
      <c r="E12" s="129" t="str">
        <f>IF(B12="","",IF(B12&lt;='Loan Terms'!$G$10,"Yes","No"))</f>
        <v>Yes</v>
      </c>
      <c r="F12" s="101">
        <f>IF(B12="","",IF('Loan Terms'!$C$13="Fixed",'Loan Terms'!$H$17,V12))</f>
        <v>6.5000000000000002E-2</v>
      </c>
      <c r="G12" s="12">
        <f t="shared" si="3"/>
        <v>6102353.4841628969</v>
      </c>
      <c r="H12" s="12">
        <f>IF(G12="","",IF('Loan Terms'!$C$13="Fixed",(E12="Yes")*J12+(E12="No")*'Loan Terms'!$H$19,PMT(F12/12,'Loan Terms'!$G$11-B12+1,-G12)))</f>
        <v>33054.414705882358</v>
      </c>
      <c r="I12" s="12">
        <f>IF(B12="","",IF(B12='Loan Terms'!$H$9*12,G12,H12-J12))</f>
        <v>0</v>
      </c>
      <c r="J12" s="130">
        <f>IF(B12="","",IF('Loan Terms'!$H$15="Actual/365",F12*(C12/365),F12*(C12/360))*G12)</f>
        <v>33054.414705882358</v>
      </c>
      <c r="K12" s="12">
        <f t="shared" si="0"/>
        <v>6102353.4841628969</v>
      </c>
      <c r="L12" s="130">
        <f t="shared" si="4"/>
        <v>33054.414705882358</v>
      </c>
      <c r="N12" s="14">
        <f t="shared" si="5"/>
        <v>0</v>
      </c>
      <c r="S12" s="217">
        <f t="shared" si="1"/>
        <v>45308</v>
      </c>
      <c r="T12" s="218">
        <v>3.56E-2</v>
      </c>
      <c r="U12" s="219">
        <f>IF(S12="","",'Loan Terms'!$H$14)</f>
        <v>225</v>
      </c>
      <c r="V12" s="220">
        <f t="shared" si="6"/>
        <v>5.8099999999999999E-2</v>
      </c>
    </row>
    <row r="13" spans="2:22" x14ac:dyDescent="0.2">
      <c r="B13" s="126">
        <f>IF(OR(B12="",B12='Loan Terms'!$H$9*12),"",B12+1)</f>
        <v>8</v>
      </c>
      <c r="C13" s="128">
        <f>IF(B13="","",IF('Loan Terms'!$H$15="30/360",30,D13-D12))</f>
        <v>30</v>
      </c>
      <c r="D13" s="129">
        <f t="shared" si="2"/>
        <v>45339</v>
      </c>
      <c r="E13" s="129" t="str">
        <f>IF(B13="","",IF(B13&lt;='Loan Terms'!$G$10,"Yes","No"))</f>
        <v>Yes</v>
      </c>
      <c r="F13" s="101">
        <f>IF(B13="","",IF('Loan Terms'!$C$13="Fixed",'Loan Terms'!$H$17,V13))</f>
        <v>6.5000000000000002E-2</v>
      </c>
      <c r="G13" s="12">
        <f t="shared" si="3"/>
        <v>6102353.4841628969</v>
      </c>
      <c r="H13" s="12">
        <f>IF(G13="","",IF('Loan Terms'!$C$13="Fixed",(E13="Yes")*J13+(E13="No")*'Loan Terms'!$H$19,PMT(F13/12,'Loan Terms'!$G$11-B13+1,-G13)))</f>
        <v>33054.414705882358</v>
      </c>
      <c r="I13" s="12">
        <f>IF(B13="","",IF(B13='Loan Terms'!$H$9*12,G13,H13-J13))</f>
        <v>0</v>
      </c>
      <c r="J13" s="130">
        <f>IF(B13="","",IF('Loan Terms'!$H$15="Actual/365",F13*(C13/365),F13*(C13/360))*G13)</f>
        <v>33054.414705882358</v>
      </c>
      <c r="K13" s="12">
        <f t="shared" si="0"/>
        <v>6102353.4841628969</v>
      </c>
      <c r="L13" s="130">
        <f t="shared" si="4"/>
        <v>33054.414705882358</v>
      </c>
      <c r="N13" s="14">
        <f t="shared" si="5"/>
        <v>0</v>
      </c>
      <c r="S13" s="217">
        <f t="shared" si="1"/>
        <v>45339</v>
      </c>
      <c r="T13" s="218">
        <v>3.5700000000000003E-2</v>
      </c>
      <c r="U13" s="219">
        <f>IF(S13="","",'Loan Terms'!$H$14)</f>
        <v>225</v>
      </c>
      <c r="V13" s="220">
        <f t="shared" si="6"/>
        <v>5.8200000000000002E-2</v>
      </c>
    </row>
    <row r="14" spans="2:22" x14ac:dyDescent="0.2">
      <c r="B14" s="126">
        <f>IF(OR(B13="",B13='Loan Terms'!$H$9*12),"",B13+1)</f>
        <v>9</v>
      </c>
      <c r="C14" s="128">
        <f>IF(B14="","",IF('Loan Terms'!$H$15="30/360",30,D14-D13))</f>
        <v>30</v>
      </c>
      <c r="D14" s="129">
        <f t="shared" si="2"/>
        <v>45368</v>
      </c>
      <c r="E14" s="129" t="str">
        <f>IF(B14="","",IF(B14&lt;='Loan Terms'!$G$10,"Yes","No"))</f>
        <v>Yes</v>
      </c>
      <c r="F14" s="101">
        <f>IF(B14="","",IF('Loan Terms'!$C$13="Fixed",'Loan Terms'!$H$17,V14))</f>
        <v>6.5000000000000002E-2</v>
      </c>
      <c r="G14" s="12">
        <f t="shared" si="3"/>
        <v>6102353.4841628969</v>
      </c>
      <c r="H14" s="12">
        <f>IF(G14="","",IF('Loan Terms'!$C$13="Fixed",(E14="Yes")*J14+(E14="No")*'Loan Terms'!$H$19,PMT(F14/12,'Loan Terms'!$G$11-B14+1,-G14)))</f>
        <v>33054.414705882358</v>
      </c>
      <c r="I14" s="12">
        <f>IF(B14="","",IF(B14='Loan Terms'!$H$9*12,G14,H14-J14))</f>
        <v>0</v>
      </c>
      <c r="J14" s="130">
        <f>IF(B14="","",IF('Loan Terms'!$H$15="Actual/365",F14*(C14/365),F14*(C14/360))*G14)</f>
        <v>33054.414705882358</v>
      </c>
      <c r="K14" s="12">
        <f t="shared" si="0"/>
        <v>6102353.4841628969</v>
      </c>
      <c r="L14" s="130">
        <f t="shared" si="4"/>
        <v>33054.414705882358</v>
      </c>
      <c r="N14" s="14">
        <f t="shared" si="5"/>
        <v>0</v>
      </c>
      <c r="S14" s="217">
        <f t="shared" si="1"/>
        <v>45368</v>
      </c>
      <c r="T14" s="218">
        <v>3.7699999999999997E-2</v>
      </c>
      <c r="U14" s="219">
        <f>IF(S14="","",'Loan Terms'!$H$14)</f>
        <v>225</v>
      </c>
      <c r="V14" s="220">
        <f t="shared" si="6"/>
        <v>6.0199999999999997E-2</v>
      </c>
    </row>
    <row r="15" spans="2:22" x14ac:dyDescent="0.2">
      <c r="B15" s="126">
        <f>IF(OR(B14="",B14='Loan Terms'!$H$9*12),"",B14+1)</f>
        <v>10</v>
      </c>
      <c r="C15" s="128">
        <f>IF(B15="","",IF('Loan Terms'!$H$15="30/360",30,D15-D14))</f>
        <v>30</v>
      </c>
      <c r="D15" s="129">
        <f t="shared" si="2"/>
        <v>45399</v>
      </c>
      <c r="E15" s="129" t="str">
        <f>IF(B15="","",IF(B15&lt;='Loan Terms'!$G$10,"Yes","No"))</f>
        <v>Yes</v>
      </c>
      <c r="F15" s="101">
        <f>IF(B15="","",IF('Loan Terms'!$C$13="Fixed",'Loan Terms'!$H$17,V15))</f>
        <v>6.5000000000000002E-2</v>
      </c>
      <c r="G15" s="12">
        <f t="shared" si="3"/>
        <v>6102353.4841628969</v>
      </c>
      <c r="H15" s="12">
        <f>IF(G15="","",IF('Loan Terms'!$C$13="Fixed",(E15="Yes")*J15+(E15="No")*'Loan Terms'!$H$19,PMT(F15/12,'Loan Terms'!$G$11-B15+1,-G15)))</f>
        <v>33054.414705882358</v>
      </c>
      <c r="I15" s="12">
        <f>IF(B15="","",IF(B15='Loan Terms'!$H$9*12,G15,H15-J15))</f>
        <v>0</v>
      </c>
      <c r="J15" s="130">
        <f>IF(B15="","",IF('Loan Terms'!$H$15="Actual/365",F15*(C15/365),F15*(C15/360))*G15)</f>
        <v>33054.414705882358</v>
      </c>
      <c r="K15" s="12">
        <f t="shared" si="0"/>
        <v>6102353.4841628969</v>
      </c>
      <c r="L15" s="130">
        <f t="shared" si="4"/>
        <v>33054.414705882358</v>
      </c>
      <c r="N15" s="14">
        <f t="shared" si="5"/>
        <v>0</v>
      </c>
      <c r="S15" s="217">
        <f t="shared" si="1"/>
        <v>45399</v>
      </c>
      <c r="T15" s="218">
        <v>3.7699999999999997E-2</v>
      </c>
      <c r="U15" s="219">
        <f>IF(S15="","",'Loan Terms'!$H$14)</f>
        <v>225</v>
      </c>
      <c r="V15" s="220">
        <f t="shared" si="6"/>
        <v>6.0199999999999997E-2</v>
      </c>
    </row>
    <row r="16" spans="2:22" x14ac:dyDescent="0.2">
      <c r="B16" s="126">
        <f>IF(OR(B15="",B15='Loan Terms'!$H$9*12),"",B15+1)</f>
        <v>11</v>
      </c>
      <c r="C16" s="128">
        <f>IF(B16="","",IF('Loan Terms'!$H$15="30/360",30,D16-D15))</f>
        <v>30</v>
      </c>
      <c r="D16" s="129">
        <f t="shared" si="2"/>
        <v>45429</v>
      </c>
      <c r="E16" s="129" t="str">
        <f>IF(B16="","",IF(B16&lt;='Loan Terms'!$G$10,"Yes","No"))</f>
        <v>Yes</v>
      </c>
      <c r="F16" s="101">
        <f>IF(B16="","",IF('Loan Terms'!$C$13="Fixed",'Loan Terms'!$H$17,V16))</f>
        <v>6.5000000000000002E-2</v>
      </c>
      <c r="G16" s="12">
        <f t="shared" si="3"/>
        <v>6102353.4841628969</v>
      </c>
      <c r="H16" s="12">
        <f>IF(G16="","",IF('Loan Terms'!$C$13="Fixed",(E16="Yes")*J16+(E16="No")*'Loan Terms'!$H$19,PMT(F16/12,'Loan Terms'!$G$11-B16+1,-G16)))</f>
        <v>33054.414705882358</v>
      </c>
      <c r="I16" s="12">
        <f>IF(B16="","",IF(B16='Loan Terms'!$H$9*12,G16,H16-J16))</f>
        <v>0</v>
      </c>
      <c r="J16" s="130">
        <f>IF(B16="","",IF('Loan Terms'!$H$15="Actual/365",F16*(C16/365),F16*(C16/360))*G16)</f>
        <v>33054.414705882358</v>
      </c>
      <c r="K16" s="12">
        <f t="shared" si="0"/>
        <v>6102353.4841628969</v>
      </c>
      <c r="L16" s="130">
        <f t="shared" si="4"/>
        <v>33054.414705882358</v>
      </c>
      <c r="N16" s="14">
        <f t="shared" si="5"/>
        <v>0</v>
      </c>
      <c r="S16" s="217">
        <f t="shared" si="1"/>
        <v>45429</v>
      </c>
      <c r="T16" s="218">
        <v>3.7699999999999997E-2</v>
      </c>
      <c r="U16" s="219">
        <f>IF(S16="","",'Loan Terms'!$H$14)</f>
        <v>225</v>
      </c>
      <c r="V16" s="220">
        <f t="shared" si="6"/>
        <v>6.0199999999999997E-2</v>
      </c>
    </row>
    <row r="17" spans="2:22" x14ac:dyDescent="0.2">
      <c r="B17" s="126">
        <f>IF(OR(B16="",B16='Loan Terms'!$H$9*12),"",B16+1)</f>
        <v>12</v>
      </c>
      <c r="C17" s="128">
        <f>IF(B17="","",IF('Loan Terms'!$H$15="30/360",30,D17-D16))</f>
        <v>30</v>
      </c>
      <c r="D17" s="129">
        <f t="shared" si="2"/>
        <v>45460</v>
      </c>
      <c r="E17" s="129" t="str">
        <f>IF(B17="","",IF(B17&lt;='Loan Terms'!$G$10,"Yes","No"))</f>
        <v>Yes</v>
      </c>
      <c r="F17" s="101">
        <f>IF(B17="","",IF('Loan Terms'!$C$13="Fixed",'Loan Terms'!$H$17,V17))</f>
        <v>6.5000000000000002E-2</v>
      </c>
      <c r="G17" s="12">
        <f t="shared" si="3"/>
        <v>6102353.4841628969</v>
      </c>
      <c r="H17" s="12">
        <f>IF(G17="","",IF('Loan Terms'!$C$13="Fixed",(E17="Yes")*J17+(E17="No")*'Loan Terms'!$H$19,PMT(F17/12,'Loan Terms'!$G$11-B17+1,-G17)))</f>
        <v>33054.414705882358</v>
      </c>
      <c r="I17" s="12">
        <f>IF(B17="","",IF(B17='Loan Terms'!$H$9*12,G17,H17-J17))</f>
        <v>0</v>
      </c>
      <c r="J17" s="130">
        <f>IF(B17="","",IF('Loan Terms'!$H$15="Actual/365",F17*(C17/365),F17*(C17/360))*G17)</f>
        <v>33054.414705882358</v>
      </c>
      <c r="K17" s="12">
        <f t="shared" si="0"/>
        <v>6102353.4841628969</v>
      </c>
      <c r="L17" s="130">
        <f t="shared" si="4"/>
        <v>33054.414705882358</v>
      </c>
      <c r="N17" s="14">
        <f t="shared" si="5"/>
        <v>0</v>
      </c>
      <c r="S17" s="217">
        <f t="shared" si="1"/>
        <v>45460</v>
      </c>
      <c r="T17" s="218">
        <v>3.6900000000000002E-2</v>
      </c>
      <c r="U17" s="219">
        <f>IF(S17="","",'Loan Terms'!$H$14)</f>
        <v>225</v>
      </c>
      <c r="V17" s="220">
        <f t="shared" si="6"/>
        <v>5.9400000000000001E-2</v>
      </c>
    </row>
    <row r="18" spans="2:22" x14ac:dyDescent="0.2">
      <c r="B18" s="126">
        <f>IF(OR(B17="",B17='Loan Terms'!$H$9*12),"",B17+1)</f>
        <v>13</v>
      </c>
      <c r="C18" s="128">
        <f>IF(B18="","",IF('Loan Terms'!$H$15="30/360",30,D18-D17))</f>
        <v>30</v>
      </c>
      <c r="D18" s="129">
        <f t="shared" si="2"/>
        <v>45490</v>
      </c>
      <c r="E18" s="129" t="str">
        <f>IF(B18="","",IF(B18&lt;='Loan Terms'!$G$10,"Yes","No"))</f>
        <v>Yes</v>
      </c>
      <c r="F18" s="101">
        <f>IF(B18="","",IF('Loan Terms'!$C$13="Fixed",'Loan Terms'!$H$17,V18))</f>
        <v>6.5000000000000002E-2</v>
      </c>
      <c r="G18" s="12">
        <f t="shared" si="3"/>
        <v>6102353.4841628969</v>
      </c>
      <c r="H18" s="12">
        <f>IF(G18="","",IF('Loan Terms'!$C$13="Fixed",(E18="Yes")*J18+(E18="No")*'Loan Terms'!$H$19,PMT(F18/12,'Loan Terms'!$G$11-B18+1,-G18)))</f>
        <v>33054.414705882358</v>
      </c>
      <c r="I18" s="12">
        <f>IF(B18="","",IF(B18='Loan Terms'!$H$9*12,G18,H18-J18))</f>
        <v>0</v>
      </c>
      <c r="J18" s="130">
        <f>IF(B18="","",IF('Loan Terms'!$H$15="Actual/365",F18*(C18/365),F18*(C18/360))*G18)</f>
        <v>33054.414705882358</v>
      </c>
      <c r="K18" s="12">
        <f t="shared" si="0"/>
        <v>6102353.4841628969</v>
      </c>
      <c r="L18" s="130">
        <f t="shared" si="4"/>
        <v>33054.414705882358</v>
      </c>
      <c r="N18" s="14">
        <f t="shared" si="5"/>
        <v>0</v>
      </c>
      <c r="S18" s="217">
        <f t="shared" si="1"/>
        <v>45490</v>
      </c>
      <c r="T18" s="218">
        <v>3.6900000000000002E-2</v>
      </c>
      <c r="U18" s="219">
        <f>IF(S18="","",'Loan Terms'!$H$14)</f>
        <v>225</v>
      </c>
      <c r="V18" s="220">
        <f t="shared" si="6"/>
        <v>5.9400000000000001E-2</v>
      </c>
    </row>
    <row r="19" spans="2:22" x14ac:dyDescent="0.2">
      <c r="B19" s="126">
        <f>IF(OR(B18="",B18='Loan Terms'!$H$9*12),"",B18+1)</f>
        <v>14</v>
      </c>
      <c r="C19" s="128">
        <f>IF(B19="","",IF('Loan Terms'!$H$15="30/360",30,D19-D18))</f>
        <v>30</v>
      </c>
      <c r="D19" s="129">
        <f t="shared" si="2"/>
        <v>45521</v>
      </c>
      <c r="E19" s="129" t="str">
        <f>IF(B19="","",IF(B19&lt;='Loan Terms'!$G$10,"Yes","No"))</f>
        <v>Yes</v>
      </c>
      <c r="F19" s="101">
        <f>IF(B19="","",IF('Loan Terms'!$C$13="Fixed",'Loan Terms'!$H$17,V19))</f>
        <v>6.5000000000000002E-2</v>
      </c>
      <c r="G19" s="12">
        <f t="shared" si="3"/>
        <v>6102353.4841628969</v>
      </c>
      <c r="H19" s="12">
        <f>IF(G19="","",IF('Loan Terms'!$C$13="Fixed",(E19="Yes")*J19+(E19="No")*'Loan Terms'!$H$19,PMT(F19/12,'Loan Terms'!$G$11-B19+1,-G19)))</f>
        <v>33054.414705882358</v>
      </c>
      <c r="I19" s="12">
        <f>IF(B19="","",IF(B19='Loan Terms'!$H$9*12,G19,H19-J19))</f>
        <v>0</v>
      </c>
      <c r="J19" s="130">
        <f>IF(B19="","",IF('Loan Terms'!$H$15="Actual/365",F19*(C19/365),F19*(C19/360))*G19)</f>
        <v>33054.414705882358</v>
      </c>
      <c r="K19" s="12">
        <f t="shared" si="0"/>
        <v>6102353.4841628969</v>
      </c>
      <c r="L19" s="130">
        <f t="shared" si="4"/>
        <v>33054.414705882358</v>
      </c>
      <c r="N19" s="14">
        <f t="shared" si="5"/>
        <v>0</v>
      </c>
      <c r="S19" s="217">
        <f t="shared" si="1"/>
        <v>45521</v>
      </c>
      <c r="T19" s="218">
        <v>3.6900000000000002E-2</v>
      </c>
      <c r="U19" s="219">
        <f>IF(S19="","",'Loan Terms'!$H$14)</f>
        <v>225</v>
      </c>
      <c r="V19" s="220">
        <f t="shared" si="6"/>
        <v>5.9400000000000001E-2</v>
      </c>
    </row>
    <row r="20" spans="2:22" x14ac:dyDescent="0.2">
      <c r="B20" s="126">
        <f>IF(OR(B19="",B19='Loan Terms'!$H$9*12),"",B19+1)</f>
        <v>15</v>
      </c>
      <c r="C20" s="128">
        <f>IF(B20="","",IF('Loan Terms'!$H$15="30/360",30,D20-D19))</f>
        <v>30</v>
      </c>
      <c r="D20" s="129">
        <f t="shared" si="2"/>
        <v>45552</v>
      </c>
      <c r="E20" s="129" t="str">
        <f>IF(B20="","",IF(B20&lt;='Loan Terms'!$G$10,"Yes","No"))</f>
        <v>Yes</v>
      </c>
      <c r="F20" s="101">
        <f>IF(B20="","",IF('Loan Terms'!$C$13="Fixed",'Loan Terms'!$H$17,V20))</f>
        <v>6.5000000000000002E-2</v>
      </c>
      <c r="G20" s="12">
        <f t="shared" si="3"/>
        <v>6102353.4841628969</v>
      </c>
      <c r="H20" s="12">
        <f>IF(G20="","",IF('Loan Terms'!$C$13="Fixed",(E20="Yes")*J20+(E20="No")*'Loan Terms'!$H$19,PMT(F20/12,'Loan Terms'!$G$11-B20+1,-G20)))</f>
        <v>33054.414705882358</v>
      </c>
      <c r="I20" s="12">
        <f>IF(B20="","",IF(B20='Loan Terms'!$H$9*12,G20,H20-J20))</f>
        <v>0</v>
      </c>
      <c r="J20" s="130">
        <f>IF(B20="","",IF('Loan Terms'!$H$15="Actual/365",F20*(C20/365),F20*(C20/360))*G20)</f>
        <v>33054.414705882358</v>
      </c>
      <c r="K20" s="12">
        <f t="shared" si="0"/>
        <v>6102353.4841628969</v>
      </c>
      <c r="L20" s="130">
        <f t="shared" si="4"/>
        <v>33054.414705882358</v>
      </c>
      <c r="N20" s="14">
        <f t="shared" si="5"/>
        <v>0</v>
      </c>
      <c r="S20" s="217">
        <f t="shared" si="1"/>
        <v>45552</v>
      </c>
      <c r="T20" s="218">
        <v>3.5900000000000001E-2</v>
      </c>
      <c r="U20" s="219">
        <f>IF(S20="","",'Loan Terms'!$H$14)</f>
        <v>225</v>
      </c>
      <c r="V20" s="220">
        <f t="shared" si="6"/>
        <v>5.8400000000000001E-2</v>
      </c>
    </row>
    <row r="21" spans="2:22" x14ac:dyDescent="0.2">
      <c r="B21" s="126">
        <f>IF(OR(B20="",B20='Loan Terms'!$H$9*12),"",B20+1)</f>
        <v>16</v>
      </c>
      <c r="C21" s="128">
        <f>IF(B21="","",IF('Loan Terms'!$H$15="30/360",30,D21-D20))</f>
        <v>30</v>
      </c>
      <c r="D21" s="129">
        <f t="shared" si="2"/>
        <v>45582</v>
      </c>
      <c r="E21" s="129" t="str">
        <f>IF(B21="","",IF(B21&lt;='Loan Terms'!$G$10,"Yes","No"))</f>
        <v>Yes</v>
      </c>
      <c r="F21" s="101">
        <f>IF(B21="","",IF('Loan Terms'!$C$13="Fixed",'Loan Terms'!$H$17,V21))</f>
        <v>6.5000000000000002E-2</v>
      </c>
      <c r="G21" s="12">
        <f t="shared" si="3"/>
        <v>6102353.4841628969</v>
      </c>
      <c r="H21" s="12">
        <f>IF(G21="","",IF('Loan Terms'!$C$13="Fixed",(E21="Yes")*J21+(E21="No")*'Loan Terms'!$H$19,PMT(F21/12,'Loan Terms'!$G$11-B21+1,-G21)))</f>
        <v>33054.414705882358</v>
      </c>
      <c r="I21" s="12">
        <f>IF(B21="","",IF(B21='Loan Terms'!$H$9*12,G21,H21-J21))</f>
        <v>0</v>
      </c>
      <c r="J21" s="130">
        <f>IF(B21="","",IF('Loan Terms'!$H$15="Actual/365",F21*(C21/365),F21*(C21/360))*G21)</f>
        <v>33054.414705882358</v>
      </c>
      <c r="K21" s="12">
        <f t="shared" si="0"/>
        <v>6102353.4841628969</v>
      </c>
      <c r="L21" s="130">
        <f t="shared" si="4"/>
        <v>33054.414705882358</v>
      </c>
      <c r="N21" s="14">
        <f t="shared" si="5"/>
        <v>0</v>
      </c>
      <c r="S21" s="217">
        <f t="shared" si="1"/>
        <v>45582</v>
      </c>
      <c r="T21" s="218">
        <v>3.5400000000000001E-2</v>
      </c>
      <c r="U21" s="219">
        <f>IF(S21="","",'Loan Terms'!$H$14)</f>
        <v>225</v>
      </c>
      <c r="V21" s="220">
        <f t="shared" si="6"/>
        <v>5.79E-2</v>
      </c>
    </row>
    <row r="22" spans="2:22" x14ac:dyDescent="0.2">
      <c r="B22" s="126">
        <f>IF(OR(B21="",B21='Loan Terms'!$H$9*12),"",B21+1)</f>
        <v>17</v>
      </c>
      <c r="C22" s="128">
        <f>IF(B22="","",IF('Loan Terms'!$H$15="30/360",30,D22-D21))</f>
        <v>30</v>
      </c>
      <c r="D22" s="129">
        <f t="shared" si="2"/>
        <v>45613</v>
      </c>
      <c r="E22" s="129" t="str">
        <f>IF(B22="","",IF(B22&lt;='Loan Terms'!$G$10,"Yes","No"))</f>
        <v>Yes</v>
      </c>
      <c r="F22" s="101">
        <f>IF(B22="","",IF('Loan Terms'!$C$13="Fixed",'Loan Terms'!$H$17,V22))</f>
        <v>6.5000000000000002E-2</v>
      </c>
      <c r="G22" s="12">
        <f t="shared" si="3"/>
        <v>6102353.4841628969</v>
      </c>
      <c r="H22" s="12">
        <f>IF(G22="","",IF('Loan Terms'!$C$13="Fixed",(E22="Yes")*J22+(E22="No")*'Loan Terms'!$H$19,PMT(F22/12,'Loan Terms'!$G$11-B22+1,-G22)))</f>
        <v>33054.414705882358</v>
      </c>
      <c r="I22" s="12">
        <f>IF(B22="","",IF(B22='Loan Terms'!$H$9*12,G22,H22-J22))</f>
        <v>0</v>
      </c>
      <c r="J22" s="130">
        <f>IF(B22="","",IF('Loan Terms'!$H$15="Actual/365",F22*(C22/365),F22*(C22/360))*G22)</f>
        <v>33054.414705882358</v>
      </c>
      <c r="K22" s="12">
        <f t="shared" si="0"/>
        <v>6102353.4841628969</v>
      </c>
      <c r="L22" s="130">
        <f t="shared" si="4"/>
        <v>33054.414705882358</v>
      </c>
      <c r="N22" s="14">
        <f t="shared" si="5"/>
        <v>0</v>
      </c>
      <c r="S22" s="217">
        <f t="shared" si="1"/>
        <v>45613</v>
      </c>
      <c r="T22" s="218">
        <v>3.5000000000000003E-2</v>
      </c>
      <c r="U22" s="219">
        <f>IF(S22="","",'Loan Terms'!$H$14)</f>
        <v>225</v>
      </c>
      <c r="V22" s="220">
        <f t="shared" si="6"/>
        <v>5.7500000000000002E-2</v>
      </c>
    </row>
    <row r="23" spans="2:22" x14ac:dyDescent="0.2">
      <c r="B23" s="126">
        <f>IF(OR(B22="",B22='Loan Terms'!$H$9*12),"",B22+1)</f>
        <v>18</v>
      </c>
      <c r="C23" s="128">
        <f>IF(B23="","",IF('Loan Terms'!$H$15="30/360",30,D23-D22))</f>
        <v>30</v>
      </c>
      <c r="D23" s="129">
        <f t="shared" si="2"/>
        <v>45643</v>
      </c>
      <c r="E23" s="129" t="str">
        <f>IF(B23="","",IF(B23&lt;='Loan Terms'!$G$10,"Yes","No"))</f>
        <v>Yes</v>
      </c>
      <c r="F23" s="101">
        <f>IF(B23="","",IF('Loan Terms'!$C$13="Fixed",'Loan Terms'!$H$17,V23))</f>
        <v>6.5000000000000002E-2</v>
      </c>
      <c r="G23" s="12">
        <f t="shared" si="3"/>
        <v>6102353.4841628969</v>
      </c>
      <c r="H23" s="12">
        <f>IF(G23="","",IF('Loan Terms'!$C$13="Fixed",(E23="Yes")*J23+(E23="No")*'Loan Terms'!$H$19,PMT(F23/12,'Loan Terms'!$G$11-B23+1,-G23)))</f>
        <v>33054.414705882358</v>
      </c>
      <c r="I23" s="12">
        <f>IF(B23="","",IF(B23='Loan Terms'!$H$9*12,G23,H23-J23))</f>
        <v>0</v>
      </c>
      <c r="J23" s="130">
        <f>IF(B23="","",IF('Loan Terms'!$H$15="Actual/365",F23*(C23/365),F23*(C23/360))*G23)</f>
        <v>33054.414705882358</v>
      </c>
      <c r="K23" s="12">
        <f t="shared" si="0"/>
        <v>6102353.4841628969</v>
      </c>
      <c r="L23" s="130">
        <f t="shared" si="4"/>
        <v>33054.414705882358</v>
      </c>
      <c r="N23" s="14">
        <f t="shared" si="5"/>
        <v>0</v>
      </c>
      <c r="S23" s="217">
        <f t="shared" si="1"/>
        <v>45643</v>
      </c>
      <c r="T23" s="218">
        <v>3.4599999999999999E-2</v>
      </c>
      <c r="U23" s="219">
        <f>IF(S23="","",'Loan Terms'!$H$14)</f>
        <v>225</v>
      </c>
      <c r="V23" s="220">
        <f t="shared" si="6"/>
        <v>5.7099999999999998E-2</v>
      </c>
    </row>
    <row r="24" spans="2:22" x14ac:dyDescent="0.2">
      <c r="B24" s="126">
        <f>IF(OR(B23="",B23='Loan Terms'!$H$9*12),"",B23+1)</f>
        <v>19</v>
      </c>
      <c r="C24" s="128">
        <f>IF(B24="","",IF('Loan Terms'!$H$15="30/360",30,D24-D23))</f>
        <v>30</v>
      </c>
      <c r="D24" s="129">
        <f t="shared" si="2"/>
        <v>45674</v>
      </c>
      <c r="E24" s="129" t="str">
        <f>IF(B24="","",IF(B24&lt;='Loan Terms'!$G$10,"Yes","No"))</f>
        <v>Yes</v>
      </c>
      <c r="F24" s="101">
        <f>IF(B24="","",IF('Loan Terms'!$C$13="Fixed",'Loan Terms'!$H$17,V24))</f>
        <v>6.5000000000000002E-2</v>
      </c>
      <c r="G24" s="12">
        <f t="shared" si="3"/>
        <v>6102353.4841628969</v>
      </c>
      <c r="H24" s="12">
        <f>IF(G24="","",IF('Loan Terms'!$C$13="Fixed",(E24="Yes")*J24+(E24="No")*'Loan Terms'!$H$19,PMT(F24/12,'Loan Terms'!$G$11-B24+1,-G24)))</f>
        <v>33054.414705882358</v>
      </c>
      <c r="I24" s="12">
        <f>IF(B24="","",IF(B24='Loan Terms'!$H$9*12,G24,H24-J24))</f>
        <v>0</v>
      </c>
      <c r="J24" s="130">
        <f>IF(B24="","",IF('Loan Terms'!$H$15="Actual/365",F24*(C24/365),F24*(C24/360))*G24)</f>
        <v>33054.414705882358</v>
      </c>
      <c r="K24" s="12">
        <f t="shared" si="0"/>
        <v>6102353.4841628969</v>
      </c>
      <c r="L24" s="130">
        <f t="shared" si="4"/>
        <v>33054.414705882358</v>
      </c>
      <c r="N24" s="14">
        <f t="shared" si="5"/>
        <v>0</v>
      </c>
      <c r="S24" s="217">
        <f t="shared" si="1"/>
        <v>45674</v>
      </c>
      <c r="T24" s="218">
        <v>3.4200000000000001E-2</v>
      </c>
      <c r="U24" s="219">
        <f>IF(S24="","",'Loan Terms'!$H$14)</f>
        <v>225</v>
      </c>
      <c r="V24" s="220">
        <f t="shared" si="6"/>
        <v>5.67E-2</v>
      </c>
    </row>
    <row r="25" spans="2:22" x14ac:dyDescent="0.2">
      <c r="B25" s="126">
        <f>IF(OR(B24="",B24='Loan Terms'!$H$9*12),"",B24+1)</f>
        <v>20</v>
      </c>
      <c r="C25" s="128">
        <f>IF(B25="","",IF('Loan Terms'!$H$15="30/360",30,D25-D24))</f>
        <v>30</v>
      </c>
      <c r="D25" s="129">
        <f t="shared" si="2"/>
        <v>45705</v>
      </c>
      <c r="E25" s="129" t="str">
        <f>IF(B25="","",IF(B25&lt;='Loan Terms'!$G$10,"Yes","No"))</f>
        <v>Yes</v>
      </c>
      <c r="F25" s="101">
        <f>IF(B25="","",IF('Loan Terms'!$C$13="Fixed",'Loan Terms'!$H$17,V25))</f>
        <v>6.5000000000000002E-2</v>
      </c>
      <c r="G25" s="12">
        <f t="shared" si="3"/>
        <v>6102353.4841628969</v>
      </c>
      <c r="H25" s="12">
        <f>IF(G25="","",IF('Loan Terms'!$C$13="Fixed",(E25="Yes")*J25+(E25="No")*'Loan Terms'!$H$19,PMT(F25/12,'Loan Terms'!$G$11-B25+1,-G25)))</f>
        <v>33054.414705882358</v>
      </c>
      <c r="I25" s="12">
        <f>IF(B25="","",IF(B25='Loan Terms'!$H$9*12,G25,H25-J25))</f>
        <v>0</v>
      </c>
      <c r="J25" s="130">
        <f>IF(B25="","",IF('Loan Terms'!$H$15="Actual/365",F25*(C25/365),F25*(C25/360))*G25)</f>
        <v>33054.414705882358</v>
      </c>
      <c r="K25" s="12">
        <f t="shared" si="0"/>
        <v>6102353.4841628969</v>
      </c>
      <c r="L25" s="130">
        <f t="shared" si="4"/>
        <v>33054.414705882358</v>
      </c>
      <c r="N25" s="14">
        <f t="shared" si="5"/>
        <v>0</v>
      </c>
      <c r="S25" s="217">
        <f t="shared" si="1"/>
        <v>45705</v>
      </c>
      <c r="T25" s="218">
        <v>3.3799999999999997E-2</v>
      </c>
      <c r="U25" s="219">
        <f>IF(S25="","",'Loan Terms'!$H$14)</f>
        <v>225</v>
      </c>
      <c r="V25" s="220">
        <f t="shared" si="6"/>
        <v>5.6299999999999996E-2</v>
      </c>
    </row>
    <row r="26" spans="2:22" x14ac:dyDescent="0.2">
      <c r="B26" s="126">
        <f>IF(OR(B25="",B25='Loan Terms'!$H$9*12),"",B25+1)</f>
        <v>21</v>
      </c>
      <c r="C26" s="128">
        <f>IF(B26="","",IF('Loan Terms'!$H$15="30/360",30,D26-D25))</f>
        <v>30</v>
      </c>
      <c r="D26" s="129">
        <f t="shared" si="2"/>
        <v>45733</v>
      </c>
      <c r="E26" s="129" t="str">
        <f>IF(B26="","",IF(B26&lt;='Loan Terms'!$G$10,"Yes","No"))</f>
        <v>Yes</v>
      </c>
      <c r="F26" s="101">
        <f>IF(B26="","",IF('Loan Terms'!$C$13="Fixed",'Loan Terms'!$H$17,V26))</f>
        <v>6.5000000000000002E-2</v>
      </c>
      <c r="G26" s="12">
        <f t="shared" si="3"/>
        <v>6102353.4841628969</v>
      </c>
      <c r="H26" s="12">
        <f>IF(G26="","",IF('Loan Terms'!$C$13="Fixed",(E26="Yes")*J26+(E26="No")*'Loan Terms'!$H$19,PMT(F26/12,'Loan Terms'!$G$11-B26+1,-G26)))</f>
        <v>33054.414705882358</v>
      </c>
      <c r="I26" s="12">
        <f>IF(B26="","",IF(B26='Loan Terms'!$H$9*12,G26,H26-J26))</f>
        <v>0</v>
      </c>
      <c r="J26" s="130">
        <f>IF(B26="","",IF('Loan Terms'!$H$15="Actual/365",F26*(C26/365),F26*(C26/360))*G26)</f>
        <v>33054.414705882358</v>
      </c>
      <c r="K26" s="12">
        <f t="shared" si="0"/>
        <v>6102353.4841628969</v>
      </c>
      <c r="L26" s="130">
        <f t="shared" si="4"/>
        <v>33054.414705882358</v>
      </c>
      <c r="N26" s="14">
        <f t="shared" si="5"/>
        <v>0</v>
      </c>
      <c r="S26" s="217">
        <f t="shared" si="1"/>
        <v>45733</v>
      </c>
      <c r="T26" s="218">
        <v>3.3500000000000002E-2</v>
      </c>
      <c r="U26" s="219">
        <f>IF(S26="","",'Loan Terms'!$H$14)</f>
        <v>225</v>
      </c>
      <c r="V26" s="220">
        <f t="shared" si="6"/>
        <v>5.6000000000000001E-2</v>
      </c>
    </row>
    <row r="27" spans="2:22" x14ac:dyDescent="0.2">
      <c r="B27" s="126">
        <f>IF(OR(B26="",B26='Loan Terms'!$H$9*12),"",B26+1)</f>
        <v>22</v>
      </c>
      <c r="C27" s="128">
        <f>IF(B27="","",IF('Loan Terms'!$H$15="30/360",30,D27-D26))</f>
        <v>30</v>
      </c>
      <c r="D27" s="129">
        <f t="shared" si="2"/>
        <v>45764</v>
      </c>
      <c r="E27" s="129" t="str">
        <f>IF(B27="","",IF(B27&lt;='Loan Terms'!$G$10,"Yes","No"))</f>
        <v>Yes</v>
      </c>
      <c r="F27" s="101">
        <f>IF(B27="","",IF('Loan Terms'!$C$13="Fixed",'Loan Terms'!$H$17,V27))</f>
        <v>6.5000000000000002E-2</v>
      </c>
      <c r="G27" s="12">
        <f t="shared" si="3"/>
        <v>6102353.4841628969</v>
      </c>
      <c r="H27" s="12">
        <f>IF(G27="","",IF('Loan Terms'!$C$13="Fixed",(E27="Yes")*J27+(E27="No")*'Loan Terms'!$H$19,PMT(F27/12,'Loan Terms'!$G$11-B27+1,-G27)))</f>
        <v>33054.414705882358</v>
      </c>
      <c r="I27" s="12">
        <f>IF(B27="","",IF(B27='Loan Terms'!$H$9*12,G27,H27-J27))</f>
        <v>0</v>
      </c>
      <c r="J27" s="130">
        <f>IF(B27="","",IF('Loan Terms'!$H$15="Actual/365",F27*(C27/365),F27*(C27/360))*G27)</f>
        <v>33054.414705882358</v>
      </c>
      <c r="K27" s="12">
        <f t="shared" si="0"/>
        <v>6102353.4841628969</v>
      </c>
      <c r="L27" s="130">
        <f t="shared" si="4"/>
        <v>33054.414705882358</v>
      </c>
      <c r="N27" s="14">
        <f t="shared" si="5"/>
        <v>0</v>
      </c>
      <c r="S27" s="217">
        <f t="shared" si="1"/>
        <v>45764</v>
      </c>
      <c r="T27" s="218">
        <v>3.32E-2</v>
      </c>
      <c r="U27" s="219">
        <f>IF(S27="","",'Loan Terms'!$H$14)</f>
        <v>225</v>
      </c>
      <c r="V27" s="220">
        <f t="shared" si="6"/>
        <v>5.57E-2</v>
      </c>
    </row>
    <row r="28" spans="2:22" x14ac:dyDescent="0.2">
      <c r="B28" s="126">
        <f>IF(OR(B27="",B27='Loan Terms'!$H$9*12),"",B27+1)</f>
        <v>23</v>
      </c>
      <c r="C28" s="128">
        <f>IF(B28="","",IF('Loan Terms'!$H$15="30/360",30,D28-D27))</f>
        <v>30</v>
      </c>
      <c r="D28" s="129">
        <f t="shared" si="2"/>
        <v>45794</v>
      </c>
      <c r="E28" s="129" t="str">
        <f>IF(B28="","",IF(B28&lt;='Loan Terms'!$G$10,"Yes","No"))</f>
        <v>Yes</v>
      </c>
      <c r="F28" s="101">
        <f>IF(B28="","",IF('Loan Terms'!$C$13="Fixed",'Loan Terms'!$H$17,V28))</f>
        <v>6.5000000000000002E-2</v>
      </c>
      <c r="G28" s="12">
        <f t="shared" si="3"/>
        <v>6102353.4841628969</v>
      </c>
      <c r="H28" s="12">
        <f>IF(G28="","",IF('Loan Terms'!$C$13="Fixed",(E28="Yes")*J28+(E28="No")*'Loan Terms'!$H$19,PMT(F28/12,'Loan Terms'!$G$11-B28+1,-G28)))</f>
        <v>33054.414705882358</v>
      </c>
      <c r="I28" s="12">
        <f>IF(B28="","",IF(B28='Loan Terms'!$H$9*12,G28,H28-J28))</f>
        <v>0</v>
      </c>
      <c r="J28" s="130">
        <f>IF(B28="","",IF('Loan Terms'!$H$15="Actual/365",F28*(C28/365),F28*(C28/360))*G28)</f>
        <v>33054.414705882358</v>
      </c>
      <c r="K28" s="12">
        <f t="shared" si="0"/>
        <v>6102353.4841628969</v>
      </c>
      <c r="L28" s="130">
        <f t="shared" si="4"/>
        <v>33054.414705882358</v>
      </c>
      <c r="N28" s="14">
        <f t="shared" si="5"/>
        <v>0</v>
      </c>
      <c r="S28" s="217">
        <f t="shared" si="1"/>
        <v>45794</v>
      </c>
      <c r="T28" s="218">
        <v>3.2899999999999999E-2</v>
      </c>
      <c r="U28" s="219">
        <f>IF(S28="","",'Loan Terms'!$H$14)</f>
        <v>225</v>
      </c>
      <c r="V28" s="220">
        <f t="shared" si="6"/>
        <v>5.5399999999999998E-2</v>
      </c>
    </row>
    <row r="29" spans="2:22" x14ac:dyDescent="0.2">
      <c r="B29" s="126">
        <f>IF(OR(B28="",B28='Loan Terms'!$H$9*12),"",B28+1)</f>
        <v>24</v>
      </c>
      <c r="C29" s="128">
        <f>IF(B29="","",IF('Loan Terms'!$H$15="30/360",30,D29-D28))</f>
        <v>30</v>
      </c>
      <c r="D29" s="129">
        <f t="shared" si="2"/>
        <v>45825</v>
      </c>
      <c r="E29" s="129" t="str">
        <f>IF(B29="","",IF(B29&lt;='Loan Terms'!$G$10,"Yes","No"))</f>
        <v>Yes</v>
      </c>
      <c r="F29" s="101">
        <f>IF(B29="","",IF('Loan Terms'!$C$13="Fixed",'Loan Terms'!$H$17,V29))</f>
        <v>6.5000000000000002E-2</v>
      </c>
      <c r="G29" s="12">
        <f t="shared" si="3"/>
        <v>6102353.4841628969</v>
      </c>
      <c r="H29" s="12">
        <f>IF(G29="","",IF('Loan Terms'!$C$13="Fixed",(E29="Yes")*J29+(E29="No")*'Loan Terms'!$H$19,PMT(F29/12,'Loan Terms'!$G$11-B29+1,-G29)))</f>
        <v>33054.414705882358</v>
      </c>
      <c r="I29" s="12">
        <f>IF(B29="","",IF(B29='Loan Terms'!$H$9*12,G29,H29-J29))</f>
        <v>0</v>
      </c>
      <c r="J29" s="130">
        <f>IF(B29="","",IF('Loan Terms'!$H$15="Actual/365",F29*(C29/365),F29*(C29/360))*G29)</f>
        <v>33054.414705882358</v>
      </c>
      <c r="K29" s="12">
        <f t="shared" si="0"/>
        <v>6102353.4841628969</v>
      </c>
      <c r="L29" s="130">
        <f t="shared" si="4"/>
        <v>33054.414705882358</v>
      </c>
      <c r="N29" s="14">
        <f t="shared" si="5"/>
        <v>0</v>
      </c>
      <c r="S29" s="217">
        <f t="shared" si="1"/>
        <v>45825</v>
      </c>
      <c r="T29" s="218">
        <v>3.27E-2</v>
      </c>
      <c r="U29" s="219">
        <f>IF(S29="","",'Loan Terms'!$H$14)</f>
        <v>225</v>
      </c>
      <c r="V29" s="220">
        <f t="shared" si="6"/>
        <v>5.5199999999999999E-2</v>
      </c>
    </row>
    <row r="30" spans="2:22" x14ac:dyDescent="0.2">
      <c r="B30" s="126">
        <f>IF(OR(B29="",B29='Loan Terms'!$H$9*12),"",B29+1)</f>
        <v>25</v>
      </c>
      <c r="C30" s="128">
        <f>IF(B30="","",IF('Loan Terms'!$H$15="30/360",30,D30-D29))</f>
        <v>30</v>
      </c>
      <c r="D30" s="129">
        <f t="shared" si="2"/>
        <v>45855</v>
      </c>
      <c r="E30" s="129" t="str">
        <f>IF(B30="","",IF(B30&lt;='Loan Terms'!$G$10,"Yes","No"))</f>
        <v>Yes</v>
      </c>
      <c r="F30" s="101">
        <f>IF(B30="","",IF('Loan Terms'!$C$13="Fixed",'Loan Terms'!$H$17,V30))</f>
        <v>6.5000000000000002E-2</v>
      </c>
      <c r="G30" s="12">
        <f t="shared" si="3"/>
        <v>6102353.4841628969</v>
      </c>
      <c r="H30" s="12">
        <f>IF(G30="","",IF('Loan Terms'!$C$13="Fixed",(E30="Yes")*J30+(E30="No")*'Loan Terms'!$H$19,PMT(F30/12,'Loan Terms'!$G$11-B30+1,-G30)))</f>
        <v>33054.414705882358</v>
      </c>
      <c r="I30" s="12">
        <f>IF(B30="","",IF(B30='Loan Terms'!$H$9*12,G30,H30-J30))</f>
        <v>0</v>
      </c>
      <c r="J30" s="130">
        <f>IF(B30="","",IF('Loan Terms'!$H$15="Actual/365",F30*(C30/365),F30*(C30/360))*G30)</f>
        <v>33054.414705882358</v>
      </c>
      <c r="K30" s="12">
        <f t="shared" si="0"/>
        <v>6102353.4841628969</v>
      </c>
      <c r="L30" s="130">
        <f t="shared" si="4"/>
        <v>33054.414705882358</v>
      </c>
      <c r="N30" s="14">
        <f t="shared" si="5"/>
        <v>0</v>
      </c>
      <c r="S30" s="217">
        <f t="shared" si="1"/>
        <v>45855</v>
      </c>
      <c r="T30" s="218">
        <v>3.2399999999999998E-2</v>
      </c>
      <c r="U30" s="219">
        <f>IF(S30="","",'Loan Terms'!$H$14)</f>
        <v>225</v>
      </c>
      <c r="V30" s="220">
        <f t="shared" si="6"/>
        <v>5.4899999999999997E-2</v>
      </c>
    </row>
    <row r="31" spans="2:22" x14ac:dyDescent="0.2">
      <c r="B31" s="126">
        <f>IF(OR(B30="",B30='Loan Terms'!$H$9*12),"",B30+1)</f>
        <v>26</v>
      </c>
      <c r="C31" s="128">
        <f>IF(B31="","",IF('Loan Terms'!$H$15="30/360",30,D31-D30))</f>
        <v>30</v>
      </c>
      <c r="D31" s="129">
        <f t="shared" si="2"/>
        <v>45886</v>
      </c>
      <c r="E31" s="129" t="str">
        <f>IF(B31="","",IF(B31&lt;='Loan Terms'!$G$10,"Yes","No"))</f>
        <v>Yes</v>
      </c>
      <c r="F31" s="101">
        <f>IF(B31="","",IF('Loan Terms'!$C$13="Fixed",'Loan Terms'!$H$17,V31))</f>
        <v>6.5000000000000002E-2</v>
      </c>
      <c r="G31" s="12">
        <f t="shared" si="3"/>
        <v>6102353.4841628969</v>
      </c>
      <c r="H31" s="12">
        <f>IF(G31="","",IF('Loan Terms'!$C$13="Fixed",(E31="Yes")*J31+(E31="No")*'Loan Terms'!$H$19,PMT(F31/12,'Loan Terms'!$G$11-B31+1,-G31)))</f>
        <v>33054.414705882358</v>
      </c>
      <c r="I31" s="12">
        <f>IF(B31="","",IF(B31='Loan Terms'!$H$9*12,G31,H31-J31))</f>
        <v>0</v>
      </c>
      <c r="J31" s="130">
        <f>IF(B31="","",IF('Loan Terms'!$H$15="Actual/365",F31*(C31/365),F31*(C31/360))*G31)</f>
        <v>33054.414705882358</v>
      </c>
      <c r="K31" s="12">
        <f t="shared" si="0"/>
        <v>6102353.4841628969</v>
      </c>
      <c r="L31" s="130">
        <f t="shared" si="4"/>
        <v>33054.414705882358</v>
      </c>
      <c r="N31" s="14">
        <f t="shared" si="5"/>
        <v>0</v>
      </c>
      <c r="S31" s="217">
        <f t="shared" si="1"/>
        <v>45886</v>
      </c>
      <c r="T31" s="218">
        <v>3.2199999999999999E-2</v>
      </c>
      <c r="U31" s="219">
        <f>IF(S31="","",'Loan Terms'!$H$14)</f>
        <v>225</v>
      </c>
      <c r="V31" s="220">
        <f t="shared" si="6"/>
        <v>5.4699999999999999E-2</v>
      </c>
    </row>
    <row r="32" spans="2:22" x14ac:dyDescent="0.2">
      <c r="B32" s="126">
        <f>IF(OR(B31="",B31='Loan Terms'!$H$9*12),"",B31+1)</f>
        <v>27</v>
      </c>
      <c r="C32" s="128">
        <f>IF(B32="","",IF('Loan Terms'!$H$15="30/360",30,D32-D31))</f>
        <v>30</v>
      </c>
      <c r="D32" s="129">
        <f t="shared" si="2"/>
        <v>45917</v>
      </c>
      <c r="E32" s="129" t="str">
        <f>IF(B32="","",IF(B32&lt;='Loan Terms'!$G$10,"Yes","No"))</f>
        <v>Yes</v>
      </c>
      <c r="F32" s="101">
        <f>IF(B32="","",IF('Loan Terms'!$C$13="Fixed",'Loan Terms'!$H$17,V32))</f>
        <v>6.5000000000000002E-2</v>
      </c>
      <c r="G32" s="12">
        <f t="shared" si="3"/>
        <v>6102353.4841628969</v>
      </c>
      <c r="H32" s="12">
        <f>IF(G32="","",IF('Loan Terms'!$C$13="Fixed",(E32="Yes")*J32+(E32="No")*'Loan Terms'!$H$19,PMT(F32/12,'Loan Terms'!$G$11-B32+1,-G32)))</f>
        <v>33054.414705882358</v>
      </c>
      <c r="I32" s="12">
        <f>IF(B32="","",IF(B32='Loan Terms'!$H$9*12,G32,H32-J32))</f>
        <v>0</v>
      </c>
      <c r="J32" s="130">
        <f>IF(B32="","",IF('Loan Terms'!$H$15="Actual/365",F32*(C32/365),F32*(C32/360))*G32)</f>
        <v>33054.414705882358</v>
      </c>
      <c r="K32" s="12">
        <f t="shared" si="0"/>
        <v>6102353.4841628969</v>
      </c>
      <c r="L32" s="130">
        <f t="shared" si="4"/>
        <v>33054.414705882358</v>
      </c>
      <c r="N32" s="14">
        <f t="shared" si="5"/>
        <v>0</v>
      </c>
      <c r="S32" s="217">
        <f t="shared" si="1"/>
        <v>45917</v>
      </c>
      <c r="T32" s="218">
        <v>3.2000000000000001E-2</v>
      </c>
      <c r="U32" s="219">
        <f>IF(S32="","",'Loan Terms'!$H$14)</f>
        <v>225</v>
      </c>
      <c r="V32" s="220">
        <f t="shared" si="6"/>
        <v>5.45E-2</v>
      </c>
    </row>
    <row r="33" spans="2:22" x14ac:dyDescent="0.2">
      <c r="B33" s="126">
        <f>IF(OR(B32="",B32='Loan Terms'!$H$9*12),"",B32+1)</f>
        <v>28</v>
      </c>
      <c r="C33" s="128">
        <f>IF(B33="","",IF('Loan Terms'!$H$15="30/360",30,D33-D32))</f>
        <v>30</v>
      </c>
      <c r="D33" s="129">
        <f t="shared" si="2"/>
        <v>45947</v>
      </c>
      <c r="E33" s="129" t="str">
        <f>IF(B33="","",IF(B33&lt;='Loan Terms'!$G$10,"Yes","No"))</f>
        <v>Yes</v>
      </c>
      <c r="F33" s="101">
        <f>IF(B33="","",IF('Loan Terms'!$C$13="Fixed",'Loan Terms'!$H$17,V33))</f>
        <v>6.5000000000000002E-2</v>
      </c>
      <c r="G33" s="12">
        <f t="shared" si="3"/>
        <v>6102353.4841628969</v>
      </c>
      <c r="H33" s="12">
        <f>IF(G33="","",IF('Loan Terms'!$C$13="Fixed",(E33="Yes")*J33+(E33="No")*'Loan Terms'!$H$19,PMT(F33/12,'Loan Terms'!$G$11-B33+1,-G33)))</f>
        <v>33054.414705882358</v>
      </c>
      <c r="I33" s="12">
        <f>IF(B33="","",IF(B33='Loan Terms'!$H$9*12,G33,H33-J33))</f>
        <v>0</v>
      </c>
      <c r="J33" s="130">
        <f>IF(B33="","",IF('Loan Terms'!$H$15="Actual/365",F33*(C33/365),F33*(C33/360))*G33)</f>
        <v>33054.414705882358</v>
      </c>
      <c r="K33" s="12">
        <f t="shared" si="0"/>
        <v>6102353.4841628969</v>
      </c>
      <c r="L33" s="130">
        <f t="shared" si="4"/>
        <v>33054.414705882358</v>
      </c>
      <c r="N33" s="14">
        <f t="shared" si="5"/>
        <v>0</v>
      </c>
      <c r="S33" s="217">
        <f t="shared" si="1"/>
        <v>45947</v>
      </c>
      <c r="T33" s="218">
        <v>3.1699999999999999E-2</v>
      </c>
      <c r="U33" s="219">
        <f>IF(S33="","",'Loan Terms'!$H$14)</f>
        <v>225</v>
      </c>
      <c r="V33" s="220">
        <f t="shared" si="6"/>
        <v>5.4199999999999998E-2</v>
      </c>
    </row>
    <row r="34" spans="2:22" x14ac:dyDescent="0.2">
      <c r="B34" s="126">
        <f>IF(OR(B33="",B33='Loan Terms'!$H$9*12),"",B33+1)</f>
        <v>29</v>
      </c>
      <c r="C34" s="128">
        <f>IF(B34="","",IF('Loan Terms'!$H$15="30/360",30,D34-D33))</f>
        <v>30</v>
      </c>
      <c r="D34" s="129">
        <f t="shared" si="2"/>
        <v>45978</v>
      </c>
      <c r="E34" s="129" t="str">
        <f>IF(B34="","",IF(B34&lt;='Loan Terms'!$G$10,"Yes","No"))</f>
        <v>Yes</v>
      </c>
      <c r="F34" s="101">
        <f>IF(B34="","",IF('Loan Terms'!$C$13="Fixed",'Loan Terms'!$H$17,V34))</f>
        <v>6.5000000000000002E-2</v>
      </c>
      <c r="G34" s="12">
        <f t="shared" si="3"/>
        <v>6102353.4841628969</v>
      </c>
      <c r="H34" s="12">
        <f>IF(G34="","",IF('Loan Terms'!$C$13="Fixed",(E34="Yes")*J34+(E34="No")*'Loan Terms'!$H$19,PMT(F34/12,'Loan Terms'!$G$11-B34+1,-G34)))</f>
        <v>33054.414705882358</v>
      </c>
      <c r="I34" s="12">
        <f>IF(B34="","",IF(B34='Loan Terms'!$H$9*12,G34,H34-J34))</f>
        <v>0</v>
      </c>
      <c r="J34" s="130">
        <f>IF(B34="","",IF('Loan Terms'!$H$15="Actual/365",F34*(C34/365),F34*(C34/360))*G34)</f>
        <v>33054.414705882358</v>
      </c>
      <c r="K34" s="12">
        <f t="shared" si="0"/>
        <v>6102353.4841628969</v>
      </c>
      <c r="L34" s="130">
        <f t="shared" si="4"/>
        <v>33054.414705882358</v>
      </c>
      <c r="N34" s="14">
        <f t="shared" si="5"/>
        <v>0</v>
      </c>
      <c r="S34" s="217">
        <f t="shared" si="1"/>
        <v>45978</v>
      </c>
      <c r="T34" s="218">
        <v>3.15E-2</v>
      </c>
      <c r="U34" s="219">
        <f>IF(S34="","",'Loan Terms'!$H$14)</f>
        <v>225</v>
      </c>
      <c r="V34" s="220">
        <f t="shared" si="6"/>
        <v>5.3999999999999999E-2</v>
      </c>
    </row>
    <row r="35" spans="2:22" x14ac:dyDescent="0.2">
      <c r="B35" s="126">
        <f>IF(OR(B34="",B34='Loan Terms'!$H$9*12),"",B34+1)</f>
        <v>30</v>
      </c>
      <c r="C35" s="128">
        <f>IF(B35="","",IF('Loan Terms'!$H$15="30/360",30,D35-D34))</f>
        <v>30</v>
      </c>
      <c r="D35" s="129">
        <f t="shared" si="2"/>
        <v>46008</v>
      </c>
      <c r="E35" s="129" t="str">
        <f>IF(B35="","",IF(B35&lt;='Loan Terms'!$G$10,"Yes","No"))</f>
        <v>Yes</v>
      </c>
      <c r="F35" s="101">
        <f>IF(B35="","",IF('Loan Terms'!$C$13="Fixed",'Loan Terms'!$H$17,V35))</f>
        <v>6.5000000000000002E-2</v>
      </c>
      <c r="G35" s="12">
        <f t="shared" si="3"/>
        <v>6102353.4841628969</v>
      </c>
      <c r="H35" s="12">
        <f>IF(G35="","",IF('Loan Terms'!$C$13="Fixed",(E35="Yes")*J35+(E35="No")*'Loan Terms'!$H$19,PMT(F35/12,'Loan Terms'!$G$11-B35+1,-G35)))</f>
        <v>33054.414705882358</v>
      </c>
      <c r="I35" s="12">
        <f>IF(B35="","",IF(B35='Loan Terms'!$H$9*12,G35,H35-J35))</f>
        <v>0</v>
      </c>
      <c r="J35" s="130">
        <f>IF(B35="","",IF('Loan Terms'!$H$15="Actual/365",F35*(C35/365),F35*(C35/360))*G35)</f>
        <v>33054.414705882358</v>
      </c>
      <c r="K35" s="12">
        <f t="shared" si="0"/>
        <v>6102353.4841628969</v>
      </c>
      <c r="L35" s="130">
        <f t="shared" si="4"/>
        <v>33054.414705882358</v>
      </c>
      <c r="N35" s="14">
        <f t="shared" si="5"/>
        <v>0</v>
      </c>
      <c r="S35" s="217">
        <f t="shared" si="1"/>
        <v>46008</v>
      </c>
      <c r="T35" s="218">
        <v>3.1300000000000001E-2</v>
      </c>
      <c r="U35" s="219">
        <f>IF(S35="","",'Loan Terms'!$H$14)</f>
        <v>225</v>
      </c>
      <c r="V35" s="220">
        <f t="shared" si="6"/>
        <v>5.3800000000000001E-2</v>
      </c>
    </row>
    <row r="36" spans="2:22" x14ac:dyDescent="0.2">
      <c r="B36" s="126">
        <f>IF(OR(B35="",B35='Loan Terms'!$H$9*12),"",B35+1)</f>
        <v>31</v>
      </c>
      <c r="C36" s="128">
        <f>IF(B36="","",IF('Loan Terms'!$H$15="30/360",30,D36-D35))</f>
        <v>30</v>
      </c>
      <c r="D36" s="129">
        <f t="shared" si="2"/>
        <v>46039</v>
      </c>
      <c r="E36" s="129" t="str">
        <f>IF(B36="","",IF(B36&lt;='Loan Terms'!$G$10,"Yes","No"))</f>
        <v>Yes</v>
      </c>
      <c r="F36" s="101">
        <f>IF(B36="","",IF('Loan Terms'!$C$13="Fixed",'Loan Terms'!$H$17,V36))</f>
        <v>6.5000000000000002E-2</v>
      </c>
      <c r="G36" s="12">
        <f t="shared" si="3"/>
        <v>6102353.4841628969</v>
      </c>
      <c r="H36" s="12">
        <f>IF(G36="","",IF('Loan Terms'!$C$13="Fixed",(E36="Yes")*J36+(E36="No")*'Loan Terms'!$H$19,PMT(F36/12,'Loan Terms'!$G$11-B36+1,-G36)))</f>
        <v>33054.414705882358</v>
      </c>
      <c r="I36" s="12">
        <f>IF(B36="","",IF(B36='Loan Terms'!$H$9*12,G36,H36-J36))</f>
        <v>0</v>
      </c>
      <c r="J36" s="130">
        <f>IF(B36="","",IF('Loan Terms'!$H$15="Actual/365",F36*(C36/365),F36*(C36/360))*G36)</f>
        <v>33054.414705882358</v>
      </c>
      <c r="K36" s="12">
        <f t="shared" si="0"/>
        <v>6102353.4841628969</v>
      </c>
      <c r="L36" s="130">
        <f t="shared" si="4"/>
        <v>33054.414705882358</v>
      </c>
      <c r="N36" s="14">
        <f t="shared" si="5"/>
        <v>0</v>
      </c>
      <c r="S36" s="217">
        <f t="shared" si="1"/>
        <v>46039</v>
      </c>
      <c r="T36" s="218">
        <v>3.1099999999999999E-2</v>
      </c>
      <c r="U36" s="219">
        <f>IF(S36="","",'Loan Terms'!$H$14)</f>
        <v>225</v>
      </c>
      <c r="V36" s="220">
        <f t="shared" si="6"/>
        <v>5.3599999999999995E-2</v>
      </c>
    </row>
    <row r="37" spans="2:22" x14ac:dyDescent="0.2">
      <c r="B37" s="126">
        <f>IF(OR(B36="",B36='Loan Terms'!$H$9*12),"",B36+1)</f>
        <v>32</v>
      </c>
      <c r="C37" s="128">
        <f>IF(B37="","",IF('Loan Terms'!$H$15="30/360",30,D37-D36))</f>
        <v>30</v>
      </c>
      <c r="D37" s="129">
        <f t="shared" si="2"/>
        <v>46070</v>
      </c>
      <c r="E37" s="129" t="str">
        <f>IF(B37="","",IF(B37&lt;='Loan Terms'!$G$10,"Yes","No"))</f>
        <v>Yes</v>
      </c>
      <c r="F37" s="101">
        <f>IF(B37="","",IF('Loan Terms'!$C$13="Fixed",'Loan Terms'!$H$17,V37))</f>
        <v>6.5000000000000002E-2</v>
      </c>
      <c r="G37" s="12">
        <f t="shared" si="3"/>
        <v>6102353.4841628969</v>
      </c>
      <c r="H37" s="12">
        <f>IF(G37="","",IF('Loan Terms'!$C$13="Fixed",(E37="Yes")*J37+(E37="No")*'Loan Terms'!$H$19,PMT(F37/12,'Loan Terms'!$G$11-B37+1,-G37)))</f>
        <v>33054.414705882358</v>
      </c>
      <c r="I37" s="12">
        <f>IF(B37="","",IF(B37='Loan Terms'!$H$9*12,G37,H37-J37))</f>
        <v>0</v>
      </c>
      <c r="J37" s="130">
        <f>IF(B37="","",IF('Loan Terms'!$H$15="Actual/365",F37*(C37/365),F37*(C37/360))*G37)</f>
        <v>33054.414705882358</v>
      </c>
      <c r="K37" s="12">
        <f t="shared" si="0"/>
        <v>6102353.4841628969</v>
      </c>
      <c r="L37" s="130">
        <f t="shared" si="4"/>
        <v>33054.414705882358</v>
      </c>
      <c r="N37" s="14">
        <f t="shared" si="5"/>
        <v>0</v>
      </c>
      <c r="S37" s="217">
        <f t="shared" si="1"/>
        <v>46070</v>
      </c>
      <c r="T37" s="218">
        <v>3.09E-2</v>
      </c>
      <c r="U37" s="219">
        <f>IF(S37="","",'Loan Terms'!$H$14)</f>
        <v>225</v>
      </c>
      <c r="V37" s="220">
        <f t="shared" si="6"/>
        <v>5.3400000000000003E-2</v>
      </c>
    </row>
    <row r="38" spans="2:22" x14ac:dyDescent="0.2">
      <c r="B38" s="126">
        <f>IF(OR(B37="",B37='Loan Terms'!$H$9*12),"",B37+1)</f>
        <v>33</v>
      </c>
      <c r="C38" s="128">
        <f>IF(B38="","",IF('Loan Terms'!$H$15="30/360",30,D38-D37))</f>
        <v>30</v>
      </c>
      <c r="D38" s="129">
        <f t="shared" si="2"/>
        <v>46098</v>
      </c>
      <c r="E38" s="129" t="str">
        <f>IF(B38="","",IF(B38&lt;='Loan Terms'!$G$10,"Yes","No"))</f>
        <v>Yes</v>
      </c>
      <c r="F38" s="101">
        <f>IF(B38="","",IF('Loan Terms'!$C$13="Fixed",'Loan Terms'!$H$17,V38))</f>
        <v>6.5000000000000002E-2</v>
      </c>
      <c r="G38" s="12">
        <f t="shared" si="3"/>
        <v>6102353.4841628969</v>
      </c>
      <c r="H38" s="12">
        <f>IF(G38="","",IF('Loan Terms'!$C$13="Fixed",(E38="Yes")*J38+(E38="No")*'Loan Terms'!$H$19,PMT(F38/12,'Loan Terms'!$G$11-B38+1,-G38)))</f>
        <v>33054.414705882358</v>
      </c>
      <c r="I38" s="12">
        <f>IF(B38="","",IF(B38='Loan Terms'!$H$9*12,G38,H38-J38))</f>
        <v>0</v>
      </c>
      <c r="J38" s="130">
        <f>IF(B38="","",IF('Loan Terms'!$H$15="Actual/365",F38*(C38/365),F38*(C38/360))*G38)</f>
        <v>33054.414705882358</v>
      </c>
      <c r="K38" s="12">
        <f t="shared" si="0"/>
        <v>6102353.4841628969</v>
      </c>
      <c r="L38" s="130">
        <f t="shared" si="4"/>
        <v>33054.414705882358</v>
      </c>
      <c r="N38" s="14">
        <f t="shared" si="5"/>
        <v>0</v>
      </c>
      <c r="S38" s="217">
        <f t="shared" si="1"/>
        <v>46098</v>
      </c>
      <c r="T38" s="218">
        <v>3.0800000000000001E-2</v>
      </c>
      <c r="U38" s="219">
        <f>IF(S38="","",'Loan Terms'!$H$14)</f>
        <v>225</v>
      </c>
      <c r="V38" s="220">
        <f t="shared" si="6"/>
        <v>5.33E-2</v>
      </c>
    </row>
    <row r="39" spans="2:22" x14ac:dyDescent="0.2">
      <c r="B39" s="126">
        <f>IF(OR(B38="",B38='Loan Terms'!$H$9*12),"",B38+1)</f>
        <v>34</v>
      </c>
      <c r="C39" s="128">
        <f>IF(B39="","",IF('Loan Terms'!$H$15="30/360",30,D39-D38))</f>
        <v>30</v>
      </c>
      <c r="D39" s="129">
        <f t="shared" si="2"/>
        <v>46129</v>
      </c>
      <c r="E39" s="129" t="str">
        <f>IF(B39="","",IF(B39&lt;='Loan Terms'!$G$10,"Yes","No"))</f>
        <v>Yes</v>
      </c>
      <c r="F39" s="101">
        <f>IF(B39="","",IF('Loan Terms'!$C$13="Fixed",'Loan Terms'!$H$17,V39))</f>
        <v>6.5000000000000002E-2</v>
      </c>
      <c r="G39" s="12">
        <f t="shared" si="3"/>
        <v>6102353.4841628969</v>
      </c>
      <c r="H39" s="12">
        <f>IF(G39="","",IF('Loan Terms'!$C$13="Fixed",(E39="Yes")*J39+(E39="No")*'Loan Terms'!$H$19,PMT(F39/12,'Loan Terms'!$G$11-B39+1,-G39)))</f>
        <v>33054.414705882358</v>
      </c>
      <c r="I39" s="12">
        <f>IF(B39="","",IF(B39='Loan Terms'!$H$9*12,G39,H39-J39))</f>
        <v>0</v>
      </c>
      <c r="J39" s="130">
        <f>IF(B39="","",IF('Loan Terms'!$H$15="Actual/365",F39*(C39/365),F39*(C39/360))*G39)</f>
        <v>33054.414705882358</v>
      </c>
      <c r="K39" s="12">
        <f t="shared" si="0"/>
        <v>6102353.4841628969</v>
      </c>
      <c r="L39" s="130">
        <f t="shared" si="4"/>
        <v>33054.414705882358</v>
      </c>
      <c r="N39" s="14">
        <f t="shared" si="5"/>
        <v>0</v>
      </c>
      <c r="S39" s="217">
        <f t="shared" si="1"/>
        <v>46129</v>
      </c>
      <c r="T39" s="218">
        <v>3.0599999999999999E-2</v>
      </c>
      <c r="U39" s="219">
        <f>IF(S39="","",'Loan Terms'!$H$14)</f>
        <v>225</v>
      </c>
      <c r="V39" s="220">
        <f t="shared" si="6"/>
        <v>5.3099999999999994E-2</v>
      </c>
    </row>
    <row r="40" spans="2:22" x14ac:dyDescent="0.2">
      <c r="B40" s="126">
        <f>IF(OR(B39="",B39='Loan Terms'!$H$9*12),"",B39+1)</f>
        <v>35</v>
      </c>
      <c r="C40" s="128">
        <f>IF(B40="","",IF('Loan Terms'!$H$15="30/360",30,D40-D39))</f>
        <v>30</v>
      </c>
      <c r="D40" s="129">
        <f t="shared" si="2"/>
        <v>46159</v>
      </c>
      <c r="E40" s="129" t="str">
        <f>IF(B40="","",IF(B40&lt;='Loan Terms'!$G$10,"Yes","No"))</f>
        <v>Yes</v>
      </c>
      <c r="F40" s="101">
        <f>IF(B40="","",IF('Loan Terms'!$C$13="Fixed",'Loan Terms'!$H$17,V40))</f>
        <v>6.5000000000000002E-2</v>
      </c>
      <c r="G40" s="12">
        <f t="shared" si="3"/>
        <v>6102353.4841628969</v>
      </c>
      <c r="H40" s="12">
        <f>IF(G40="","",IF('Loan Terms'!$C$13="Fixed",(E40="Yes")*J40+(E40="No")*'Loan Terms'!$H$19,PMT(F40/12,'Loan Terms'!$G$11-B40+1,-G40)))</f>
        <v>33054.414705882358</v>
      </c>
      <c r="I40" s="12">
        <f>IF(B40="","",IF(B40='Loan Terms'!$H$9*12,G40,H40-J40))</f>
        <v>0</v>
      </c>
      <c r="J40" s="130">
        <f>IF(B40="","",IF('Loan Terms'!$H$15="Actual/365",F40*(C40/365),F40*(C40/360))*G40)</f>
        <v>33054.414705882358</v>
      </c>
      <c r="K40" s="12">
        <f t="shared" si="0"/>
        <v>6102353.4841628969</v>
      </c>
      <c r="L40" s="130">
        <f t="shared" si="4"/>
        <v>33054.414705882358</v>
      </c>
      <c r="N40" s="14">
        <f t="shared" si="5"/>
        <v>0</v>
      </c>
      <c r="S40" s="217">
        <f t="shared" si="1"/>
        <v>46159</v>
      </c>
      <c r="T40" s="218">
        <v>3.04E-2</v>
      </c>
      <c r="U40" s="219">
        <f>IF(S40="","",'Loan Terms'!$H$14)</f>
        <v>225</v>
      </c>
      <c r="V40" s="220">
        <f t="shared" si="6"/>
        <v>5.2900000000000003E-2</v>
      </c>
    </row>
    <row r="41" spans="2:22" x14ac:dyDescent="0.2">
      <c r="B41" s="126">
        <f>IF(OR(B40="",B40='Loan Terms'!$H$9*12),"",B40+1)</f>
        <v>36</v>
      </c>
      <c r="C41" s="128">
        <f>IF(B41="","",IF('Loan Terms'!$H$15="30/360",30,D41-D40))</f>
        <v>30</v>
      </c>
      <c r="D41" s="129">
        <f t="shared" si="2"/>
        <v>46190</v>
      </c>
      <c r="E41" s="129" t="str">
        <f>IF(B41="","",IF(B41&lt;='Loan Terms'!$G$10,"Yes","No"))</f>
        <v>Yes</v>
      </c>
      <c r="F41" s="101">
        <f>IF(B41="","",IF('Loan Terms'!$C$13="Fixed",'Loan Terms'!$H$17,V41))</f>
        <v>6.5000000000000002E-2</v>
      </c>
      <c r="G41" s="12">
        <f t="shared" si="3"/>
        <v>6102353.4841628969</v>
      </c>
      <c r="H41" s="12">
        <f>IF(G41="","",IF('Loan Terms'!$C$13="Fixed",(E41="Yes")*J41+(E41="No")*'Loan Terms'!$H$19,PMT(F41/12,'Loan Terms'!$G$11-B41+1,-G41)))</f>
        <v>33054.414705882358</v>
      </c>
      <c r="I41" s="12">
        <f>IF(B41="","",IF(B41='Loan Terms'!$H$9*12,G41,H41-J41))</f>
        <v>0</v>
      </c>
      <c r="J41" s="130">
        <f>IF(B41="","",IF('Loan Terms'!$H$15="Actual/365",F41*(C41/365),F41*(C41/360))*G41)</f>
        <v>33054.414705882358</v>
      </c>
      <c r="K41" s="12">
        <f t="shared" si="0"/>
        <v>6102353.4841628969</v>
      </c>
      <c r="L41" s="130">
        <f t="shared" si="4"/>
        <v>33054.414705882358</v>
      </c>
      <c r="N41" s="14">
        <f t="shared" si="5"/>
        <v>0</v>
      </c>
      <c r="S41" s="217">
        <f t="shared" si="1"/>
        <v>46190</v>
      </c>
      <c r="T41" s="218">
        <v>3.0300000000000001E-2</v>
      </c>
      <c r="U41" s="219">
        <f>IF(S41="","",'Loan Terms'!$H$14)</f>
        <v>225</v>
      </c>
      <c r="V41" s="220">
        <f t="shared" si="6"/>
        <v>5.28E-2</v>
      </c>
    </row>
    <row r="42" spans="2:22" x14ac:dyDescent="0.2">
      <c r="B42" s="126">
        <f>IF(OR(B41="",B41='Loan Terms'!$H$9*12),"",B41+1)</f>
        <v>37</v>
      </c>
      <c r="C42" s="128">
        <f>IF(B42="","",IF('Loan Terms'!$H$15="30/360",30,D42-D41))</f>
        <v>30</v>
      </c>
      <c r="D42" s="129">
        <f t="shared" si="2"/>
        <v>46220</v>
      </c>
      <c r="E42" s="129" t="str">
        <f>IF(B42="","",IF(B42&lt;='Loan Terms'!$G$10,"Yes","No"))</f>
        <v>Yes</v>
      </c>
      <c r="F42" s="101">
        <f>IF(B42="","",IF('Loan Terms'!$C$13="Fixed",'Loan Terms'!$H$17,V42))</f>
        <v>6.5000000000000002E-2</v>
      </c>
      <c r="G42" s="12">
        <f t="shared" si="3"/>
        <v>6102353.4841628969</v>
      </c>
      <c r="H42" s="12">
        <f>IF(G42="","",IF('Loan Terms'!$C$13="Fixed",(E42="Yes")*J42+(E42="No")*'Loan Terms'!$H$19,PMT(F42/12,'Loan Terms'!$G$11-B42+1,-G42)))</f>
        <v>33054.414705882358</v>
      </c>
      <c r="I42" s="12">
        <f>IF(B42="","",IF(B42='Loan Terms'!$H$9*12,G42,H42-J42))</f>
        <v>0</v>
      </c>
      <c r="J42" s="130">
        <f>IF(B42="","",IF('Loan Terms'!$H$15="Actual/365",F42*(C42/365),F42*(C42/360))*G42)</f>
        <v>33054.414705882358</v>
      </c>
      <c r="K42" s="12">
        <f t="shared" si="0"/>
        <v>6102353.4841628969</v>
      </c>
      <c r="L42" s="130">
        <f t="shared" si="4"/>
        <v>33054.414705882358</v>
      </c>
      <c r="N42" s="14">
        <f t="shared" si="5"/>
        <v>0</v>
      </c>
      <c r="S42" s="217">
        <f t="shared" si="1"/>
        <v>46220</v>
      </c>
      <c r="T42" s="218">
        <v>3.0099999999999998E-2</v>
      </c>
      <c r="U42" s="219">
        <f>IF(S42="","",'Loan Terms'!$H$14)</f>
        <v>225</v>
      </c>
      <c r="V42" s="220">
        <f t="shared" si="6"/>
        <v>5.2599999999999994E-2</v>
      </c>
    </row>
    <row r="43" spans="2:22" x14ac:dyDescent="0.2">
      <c r="B43" s="126">
        <f>IF(OR(B42="",B42='Loan Terms'!$H$9*12),"",B42+1)</f>
        <v>38</v>
      </c>
      <c r="C43" s="128">
        <f>IF(B43="","",IF('Loan Terms'!$H$15="30/360",30,D43-D42))</f>
        <v>30</v>
      </c>
      <c r="D43" s="129">
        <f t="shared" si="2"/>
        <v>46251</v>
      </c>
      <c r="E43" s="129" t="str">
        <f>IF(B43="","",IF(B43&lt;='Loan Terms'!$G$10,"Yes","No"))</f>
        <v>Yes</v>
      </c>
      <c r="F43" s="101">
        <f>IF(B43="","",IF('Loan Terms'!$C$13="Fixed",'Loan Terms'!$H$17,V43))</f>
        <v>6.5000000000000002E-2</v>
      </c>
      <c r="G43" s="12">
        <f t="shared" si="3"/>
        <v>6102353.4841628969</v>
      </c>
      <c r="H43" s="12">
        <f>IF(G43="","",IF('Loan Terms'!$C$13="Fixed",(E43="Yes")*J43+(E43="No")*'Loan Terms'!$H$19,PMT(F43/12,'Loan Terms'!$G$11-B43+1,-G43)))</f>
        <v>33054.414705882358</v>
      </c>
      <c r="I43" s="12">
        <f>IF(B43="","",IF(B43='Loan Terms'!$H$9*12,G43,H43-J43))</f>
        <v>0</v>
      </c>
      <c r="J43" s="130">
        <f>IF(B43="","",IF('Loan Terms'!$H$15="Actual/365",F43*(C43/365),F43*(C43/360))*G43)</f>
        <v>33054.414705882358</v>
      </c>
      <c r="K43" s="12">
        <f t="shared" si="0"/>
        <v>6102353.4841628969</v>
      </c>
      <c r="L43" s="130">
        <f t="shared" si="4"/>
        <v>33054.414705882358</v>
      </c>
      <c r="N43" s="14">
        <f t="shared" si="5"/>
        <v>0</v>
      </c>
      <c r="S43" s="217">
        <f t="shared" si="1"/>
        <v>46251</v>
      </c>
      <c r="T43" s="218">
        <v>0.03</v>
      </c>
      <c r="U43" s="219">
        <f>IF(S43="","",'Loan Terms'!$H$14)</f>
        <v>225</v>
      </c>
      <c r="V43" s="220">
        <f t="shared" si="6"/>
        <v>5.2499999999999998E-2</v>
      </c>
    </row>
    <row r="44" spans="2:22" ht="14.25" customHeight="1" x14ac:dyDescent="0.2">
      <c r="B44" s="126">
        <f>IF(OR(B43="",B43='Loan Terms'!$H$9*12),"",B43+1)</f>
        <v>39</v>
      </c>
      <c r="C44" s="128">
        <f>IF(B44="","",IF('Loan Terms'!$H$15="30/360",30,D44-D43))</f>
        <v>30</v>
      </c>
      <c r="D44" s="129">
        <f t="shared" si="2"/>
        <v>46282</v>
      </c>
      <c r="E44" s="129" t="str">
        <f>IF(B44="","",IF(B44&lt;='Loan Terms'!$G$10,"Yes","No"))</f>
        <v>Yes</v>
      </c>
      <c r="F44" s="101">
        <f>IF(B44="","",IF('Loan Terms'!$C$13="Fixed",'Loan Terms'!$H$17,V44))</f>
        <v>6.5000000000000002E-2</v>
      </c>
      <c r="G44" s="12">
        <f t="shared" si="3"/>
        <v>6102353.4841628969</v>
      </c>
      <c r="H44" s="12">
        <f>IF(G44="","",IF('Loan Terms'!$C$13="Fixed",(E44="Yes")*J44+(E44="No")*'Loan Terms'!$H$19,PMT(F44/12,'Loan Terms'!$G$11-B44+1,-G44)))</f>
        <v>33054.414705882358</v>
      </c>
      <c r="I44" s="12">
        <f>IF(B44="","",IF(B44='Loan Terms'!$H$9*12,G44,H44-J44))</f>
        <v>0</v>
      </c>
      <c r="J44" s="130">
        <f>IF(B44="","",IF('Loan Terms'!$H$15="Actual/365",F44*(C44/365),F44*(C44/360))*G44)</f>
        <v>33054.414705882358</v>
      </c>
      <c r="K44" s="12">
        <f t="shared" si="0"/>
        <v>6102353.4841628969</v>
      </c>
      <c r="L44" s="130">
        <f t="shared" si="4"/>
        <v>33054.414705882358</v>
      </c>
      <c r="N44" s="14">
        <f t="shared" si="5"/>
        <v>0</v>
      </c>
      <c r="S44" s="217">
        <f t="shared" si="1"/>
        <v>46282</v>
      </c>
      <c r="T44" s="218">
        <v>2.98E-2</v>
      </c>
      <c r="U44" s="219">
        <f>IF(S44="","",'Loan Terms'!$H$14)</f>
        <v>225</v>
      </c>
      <c r="V44" s="220">
        <f t="shared" si="6"/>
        <v>5.2299999999999999E-2</v>
      </c>
    </row>
    <row r="45" spans="2:22" ht="14.25" customHeight="1" x14ac:dyDescent="0.2">
      <c r="B45" s="126">
        <f>IF(OR(B44="",B44='Loan Terms'!$H$9*12),"",B44+1)</f>
        <v>40</v>
      </c>
      <c r="C45" s="128">
        <f>IF(B45="","",IF('Loan Terms'!$H$15="30/360",30,D45-D44))</f>
        <v>30</v>
      </c>
      <c r="D45" s="129">
        <f t="shared" si="2"/>
        <v>46312</v>
      </c>
      <c r="E45" s="129" t="str">
        <f>IF(B45="","",IF(B45&lt;='Loan Terms'!$G$10,"Yes","No"))</f>
        <v>Yes</v>
      </c>
      <c r="F45" s="101">
        <f>IF(B45="","",IF('Loan Terms'!$C$13="Fixed",'Loan Terms'!$H$17,V45))</f>
        <v>6.5000000000000002E-2</v>
      </c>
      <c r="G45" s="12">
        <f t="shared" si="3"/>
        <v>6102353.4841628969</v>
      </c>
      <c r="H45" s="12">
        <f>IF(G45="","",IF('Loan Terms'!$C$13="Fixed",(E45="Yes")*J45+(E45="No")*'Loan Terms'!$H$19,PMT(F45/12,'Loan Terms'!$G$11-B45+1,-G45)))</f>
        <v>33054.414705882358</v>
      </c>
      <c r="I45" s="12">
        <f>IF(B45="","",IF(B45='Loan Terms'!$H$9*12,G45,H45-J45))</f>
        <v>0</v>
      </c>
      <c r="J45" s="130">
        <f>IF(B45="","",IF('Loan Terms'!$H$15="Actual/365",F45*(C45/365),F45*(C45/360))*G45)</f>
        <v>33054.414705882358</v>
      </c>
      <c r="K45" s="12">
        <f t="shared" si="0"/>
        <v>6102353.4841628969</v>
      </c>
      <c r="L45" s="130">
        <f t="shared" si="4"/>
        <v>33054.414705882358</v>
      </c>
      <c r="N45" s="14">
        <f t="shared" si="5"/>
        <v>0</v>
      </c>
      <c r="S45" s="217">
        <f t="shared" si="1"/>
        <v>46312</v>
      </c>
      <c r="T45" s="218">
        <v>2.9700000000000001E-2</v>
      </c>
      <c r="U45" s="219">
        <f>IF(S45="","",'Loan Terms'!$H$14)</f>
        <v>225</v>
      </c>
      <c r="V45" s="220">
        <f t="shared" si="6"/>
        <v>5.2199999999999996E-2</v>
      </c>
    </row>
    <row r="46" spans="2:22" ht="14.25" customHeight="1" x14ac:dyDescent="0.2">
      <c r="B46" s="126">
        <f>IF(OR(B45="",B45='Loan Terms'!$H$9*12),"",B45+1)</f>
        <v>41</v>
      </c>
      <c r="C46" s="128">
        <f>IF(B46="","",IF('Loan Terms'!$H$15="30/360",30,D46-D45))</f>
        <v>30</v>
      </c>
      <c r="D46" s="129">
        <f t="shared" si="2"/>
        <v>46343</v>
      </c>
      <c r="E46" s="129" t="str">
        <f>IF(B46="","",IF(B46&lt;='Loan Terms'!$G$10,"Yes","No"))</f>
        <v>Yes</v>
      </c>
      <c r="F46" s="101">
        <f>IF(B46="","",IF('Loan Terms'!$C$13="Fixed",'Loan Terms'!$H$17,V46))</f>
        <v>6.5000000000000002E-2</v>
      </c>
      <c r="G46" s="12">
        <f t="shared" si="3"/>
        <v>6102353.4841628969</v>
      </c>
      <c r="H46" s="12">
        <f>IF(G46="","",IF('Loan Terms'!$C$13="Fixed",(E46="Yes")*J46+(E46="No")*'Loan Terms'!$H$19,PMT(F46/12,'Loan Terms'!$G$11-B46+1,-G46)))</f>
        <v>33054.414705882358</v>
      </c>
      <c r="I46" s="12">
        <f>IF(B46="","",IF(B46='Loan Terms'!$H$9*12,G46,H46-J46))</f>
        <v>0</v>
      </c>
      <c r="J46" s="130">
        <f>IF(B46="","",IF('Loan Terms'!$H$15="Actual/365",F46*(C46/365),F46*(C46/360))*G46)</f>
        <v>33054.414705882358</v>
      </c>
      <c r="K46" s="12">
        <f t="shared" si="0"/>
        <v>6102353.4841628969</v>
      </c>
      <c r="L46" s="130">
        <f t="shared" si="4"/>
        <v>33054.414705882358</v>
      </c>
      <c r="N46" s="14">
        <f t="shared" si="5"/>
        <v>0</v>
      </c>
      <c r="S46" s="217">
        <f t="shared" si="1"/>
        <v>46343</v>
      </c>
      <c r="T46" s="218">
        <v>2.9600000000000001E-2</v>
      </c>
      <c r="U46" s="219">
        <f>IF(S46="","",'Loan Terms'!$H$14)</f>
        <v>225</v>
      </c>
      <c r="V46" s="220">
        <f t="shared" si="6"/>
        <v>5.21E-2</v>
      </c>
    </row>
    <row r="47" spans="2:22" ht="14.25" customHeight="1" x14ac:dyDescent="0.2">
      <c r="B47" s="126">
        <f>IF(OR(B46="",B46='Loan Terms'!$H$9*12),"",B46+1)</f>
        <v>42</v>
      </c>
      <c r="C47" s="128">
        <f>IF(B47="","",IF('Loan Terms'!$H$15="30/360",30,D47-D46))</f>
        <v>30</v>
      </c>
      <c r="D47" s="129">
        <f t="shared" si="2"/>
        <v>46373</v>
      </c>
      <c r="E47" s="129" t="str">
        <f>IF(B47="","",IF(B47&lt;='Loan Terms'!$G$10,"Yes","No"))</f>
        <v>Yes</v>
      </c>
      <c r="F47" s="101">
        <f>IF(B47="","",IF('Loan Terms'!$C$13="Fixed",'Loan Terms'!$H$17,V47))</f>
        <v>6.5000000000000002E-2</v>
      </c>
      <c r="G47" s="12">
        <f t="shared" si="3"/>
        <v>6102353.4841628969</v>
      </c>
      <c r="H47" s="12">
        <f>IF(G47="","",IF('Loan Terms'!$C$13="Fixed",(E47="Yes")*J47+(E47="No")*'Loan Terms'!$H$19,PMT(F47/12,'Loan Terms'!$G$11-B47+1,-G47)))</f>
        <v>33054.414705882358</v>
      </c>
      <c r="I47" s="12">
        <f>IF(B47="","",IF(B47='Loan Terms'!$H$9*12,G47,H47-J47))</f>
        <v>0</v>
      </c>
      <c r="J47" s="130">
        <f>IF(B47="","",IF('Loan Terms'!$H$15="Actual/365",F47*(C47/365),F47*(C47/360))*G47)</f>
        <v>33054.414705882358</v>
      </c>
      <c r="K47" s="12">
        <f t="shared" si="0"/>
        <v>6102353.4841628969</v>
      </c>
      <c r="L47" s="130">
        <f t="shared" si="4"/>
        <v>33054.414705882358</v>
      </c>
      <c r="N47" s="14">
        <f t="shared" si="5"/>
        <v>0</v>
      </c>
      <c r="S47" s="217">
        <f t="shared" si="1"/>
        <v>46373</v>
      </c>
      <c r="T47" s="218">
        <v>2.9499999999999998E-2</v>
      </c>
      <c r="U47" s="219">
        <f>IF(S47="","",'Loan Terms'!$H$14)</f>
        <v>225</v>
      </c>
      <c r="V47" s="220">
        <f t="shared" si="6"/>
        <v>5.1999999999999998E-2</v>
      </c>
    </row>
    <row r="48" spans="2:22" ht="14.25" customHeight="1" x14ac:dyDescent="0.2">
      <c r="B48" s="126">
        <f>IF(OR(B47="",B47='Loan Terms'!$H$9*12),"",B47+1)</f>
        <v>43</v>
      </c>
      <c r="C48" s="128">
        <f>IF(B48="","",IF('Loan Terms'!$H$15="30/360",30,D48-D47))</f>
        <v>30</v>
      </c>
      <c r="D48" s="129">
        <f t="shared" si="2"/>
        <v>46404</v>
      </c>
      <c r="E48" s="129" t="str">
        <f>IF(B48="","",IF(B48&lt;='Loan Terms'!$G$10,"Yes","No"))</f>
        <v>Yes</v>
      </c>
      <c r="F48" s="101">
        <f>IF(B48="","",IF('Loan Terms'!$C$13="Fixed",'Loan Terms'!$H$17,V48))</f>
        <v>6.5000000000000002E-2</v>
      </c>
      <c r="G48" s="12">
        <f t="shared" si="3"/>
        <v>6102353.4841628969</v>
      </c>
      <c r="H48" s="12">
        <f>IF(G48="","",IF('Loan Terms'!$C$13="Fixed",(E48="Yes")*J48+(E48="No")*'Loan Terms'!$H$19,PMT(F48/12,'Loan Terms'!$G$11-B48+1,-G48)))</f>
        <v>33054.414705882358</v>
      </c>
      <c r="I48" s="12">
        <f>IF(B48="","",IF(B48='Loan Terms'!$H$9*12,G48,H48-J48))</f>
        <v>0</v>
      </c>
      <c r="J48" s="130">
        <f>IF(B48="","",IF('Loan Terms'!$H$15="Actual/365",F48*(C48/365),F48*(C48/360))*G48)</f>
        <v>33054.414705882358</v>
      </c>
      <c r="K48" s="12">
        <f t="shared" si="0"/>
        <v>6102353.4841628969</v>
      </c>
      <c r="L48" s="130">
        <f t="shared" si="4"/>
        <v>33054.414705882358</v>
      </c>
      <c r="N48" s="14">
        <f t="shared" si="5"/>
        <v>0</v>
      </c>
      <c r="S48" s="217">
        <f t="shared" si="1"/>
        <v>46404</v>
      </c>
      <c r="T48" s="218">
        <v>2.93E-2</v>
      </c>
      <c r="U48" s="219">
        <f>IF(S48="","",'Loan Terms'!$H$14)</f>
        <v>225</v>
      </c>
      <c r="V48" s="220">
        <f t="shared" si="6"/>
        <v>5.1799999999999999E-2</v>
      </c>
    </row>
    <row r="49" spans="2:22" ht="14.25" customHeight="1" x14ac:dyDescent="0.2">
      <c r="B49" s="126">
        <f>IF(OR(B48="",B48='Loan Terms'!$H$9*12),"",B48+1)</f>
        <v>44</v>
      </c>
      <c r="C49" s="128">
        <f>IF(B49="","",IF('Loan Terms'!$H$15="30/360",30,D49-D48))</f>
        <v>30</v>
      </c>
      <c r="D49" s="129">
        <f t="shared" si="2"/>
        <v>46435</v>
      </c>
      <c r="E49" s="129" t="str">
        <f>IF(B49="","",IF(B49&lt;='Loan Terms'!$G$10,"Yes","No"))</f>
        <v>Yes</v>
      </c>
      <c r="F49" s="101">
        <f>IF(B49="","",IF('Loan Terms'!$C$13="Fixed",'Loan Terms'!$H$17,V49))</f>
        <v>6.5000000000000002E-2</v>
      </c>
      <c r="G49" s="12">
        <f t="shared" si="3"/>
        <v>6102353.4841628969</v>
      </c>
      <c r="H49" s="12">
        <f>IF(G49="","",IF('Loan Terms'!$C$13="Fixed",(E49="Yes")*J49+(E49="No")*'Loan Terms'!$H$19,PMT(F49/12,'Loan Terms'!$G$11-B49+1,-G49)))</f>
        <v>33054.414705882358</v>
      </c>
      <c r="I49" s="12">
        <f>IF(B49="","",IF(B49='Loan Terms'!$H$9*12,G49,H49-J49))</f>
        <v>0</v>
      </c>
      <c r="J49" s="130">
        <f>IF(B49="","",IF('Loan Terms'!$H$15="Actual/365",F49*(C49/365),F49*(C49/360))*G49)</f>
        <v>33054.414705882358</v>
      </c>
      <c r="K49" s="12">
        <f t="shared" si="0"/>
        <v>6102353.4841628969</v>
      </c>
      <c r="L49" s="130">
        <f t="shared" si="4"/>
        <v>33054.414705882358</v>
      </c>
      <c r="N49" s="14">
        <f t="shared" si="5"/>
        <v>0</v>
      </c>
      <c r="S49" s="217">
        <f t="shared" si="1"/>
        <v>46435</v>
      </c>
      <c r="T49" s="218">
        <v>2.93E-2</v>
      </c>
      <c r="U49" s="219">
        <f>IF(S49="","",'Loan Terms'!$H$14)</f>
        <v>225</v>
      </c>
      <c r="V49" s="220">
        <f t="shared" si="6"/>
        <v>5.1799999999999999E-2</v>
      </c>
    </row>
    <row r="50" spans="2:22" ht="14.25" customHeight="1" x14ac:dyDescent="0.2">
      <c r="B50" s="126">
        <f>IF(OR(B49="",B49='Loan Terms'!$H$9*12),"",B49+1)</f>
        <v>45</v>
      </c>
      <c r="C50" s="128">
        <f>IF(B50="","",IF('Loan Terms'!$H$15="30/360",30,D50-D49))</f>
        <v>30</v>
      </c>
      <c r="D50" s="129">
        <f t="shared" si="2"/>
        <v>46463</v>
      </c>
      <c r="E50" s="129" t="str">
        <f>IF(B50="","",IF(B50&lt;='Loan Terms'!$G$10,"Yes","No"))</f>
        <v>Yes</v>
      </c>
      <c r="F50" s="101">
        <f>IF(B50="","",IF('Loan Terms'!$C$13="Fixed",'Loan Terms'!$H$17,V50))</f>
        <v>6.5000000000000002E-2</v>
      </c>
      <c r="G50" s="12">
        <f t="shared" si="3"/>
        <v>6102353.4841628969</v>
      </c>
      <c r="H50" s="12">
        <f>IF(G50="","",IF('Loan Terms'!$C$13="Fixed",(E50="Yes")*J50+(E50="No")*'Loan Terms'!$H$19,PMT(F50/12,'Loan Terms'!$G$11-B50+1,-G50)))</f>
        <v>33054.414705882358</v>
      </c>
      <c r="I50" s="12">
        <f>IF(B50="","",IF(B50='Loan Terms'!$H$9*12,G50,H50-J50))</f>
        <v>0</v>
      </c>
      <c r="J50" s="130">
        <f>IF(B50="","",IF('Loan Terms'!$H$15="Actual/365",F50*(C50/365),F50*(C50/360))*G50)</f>
        <v>33054.414705882358</v>
      </c>
      <c r="K50" s="12">
        <f t="shared" si="0"/>
        <v>6102353.4841628969</v>
      </c>
      <c r="L50" s="130">
        <f t="shared" si="4"/>
        <v>33054.414705882358</v>
      </c>
      <c r="N50" s="14">
        <f t="shared" si="5"/>
        <v>0</v>
      </c>
      <c r="S50" s="217">
        <f t="shared" si="1"/>
        <v>46463</v>
      </c>
      <c r="T50" s="218">
        <v>2.92E-2</v>
      </c>
      <c r="U50" s="219">
        <f>IF(S50="","",'Loan Terms'!$H$14)</f>
        <v>225</v>
      </c>
      <c r="V50" s="220">
        <f t="shared" si="6"/>
        <v>5.1699999999999996E-2</v>
      </c>
    </row>
    <row r="51" spans="2:22" ht="14.25" customHeight="1" x14ac:dyDescent="0.2">
      <c r="B51" s="126">
        <f>IF(OR(B50="",B50='Loan Terms'!$H$9*12),"",B50+1)</f>
        <v>46</v>
      </c>
      <c r="C51" s="128">
        <f>IF(B51="","",IF('Loan Terms'!$H$15="30/360",30,D51-D50))</f>
        <v>30</v>
      </c>
      <c r="D51" s="129">
        <f t="shared" si="2"/>
        <v>46494</v>
      </c>
      <c r="E51" s="129" t="str">
        <f>IF(B51="","",IF(B51&lt;='Loan Terms'!$G$10,"Yes","No"))</f>
        <v>Yes</v>
      </c>
      <c r="F51" s="101">
        <f>IF(B51="","",IF('Loan Terms'!$C$13="Fixed",'Loan Terms'!$H$17,V51))</f>
        <v>6.5000000000000002E-2</v>
      </c>
      <c r="G51" s="12">
        <f t="shared" si="3"/>
        <v>6102353.4841628969</v>
      </c>
      <c r="H51" s="12">
        <f>IF(G51="","",IF('Loan Terms'!$C$13="Fixed",(E51="Yes")*J51+(E51="No")*'Loan Terms'!$H$19,PMT(F51/12,'Loan Terms'!$G$11-B51+1,-G51)))</f>
        <v>33054.414705882358</v>
      </c>
      <c r="I51" s="12">
        <f>IF(B51="","",IF(B51='Loan Terms'!$H$9*12,G51,H51-J51))</f>
        <v>0</v>
      </c>
      <c r="J51" s="130">
        <f>IF(B51="","",IF('Loan Terms'!$H$15="Actual/365",F51*(C51/365),F51*(C51/360))*G51)</f>
        <v>33054.414705882358</v>
      </c>
      <c r="K51" s="12">
        <f t="shared" si="0"/>
        <v>6102353.4841628969</v>
      </c>
      <c r="L51" s="130">
        <f t="shared" si="4"/>
        <v>33054.414705882358</v>
      </c>
      <c r="N51" s="14">
        <f t="shared" si="5"/>
        <v>0</v>
      </c>
      <c r="S51" s="217">
        <f t="shared" si="1"/>
        <v>46494</v>
      </c>
      <c r="T51" s="218">
        <v>2.9100000000000001E-2</v>
      </c>
      <c r="U51" s="219">
        <f>IF(S51="","",'Loan Terms'!$H$14)</f>
        <v>225</v>
      </c>
      <c r="V51" s="220">
        <f t="shared" si="6"/>
        <v>5.16E-2</v>
      </c>
    </row>
    <row r="52" spans="2:22" ht="14.25" customHeight="1" x14ac:dyDescent="0.2">
      <c r="B52" s="126">
        <f>IF(OR(B51="",B51='Loan Terms'!$H$9*12),"",B51+1)</f>
        <v>47</v>
      </c>
      <c r="C52" s="128">
        <f>IF(B52="","",IF('Loan Terms'!$H$15="30/360",30,D52-D51))</f>
        <v>30</v>
      </c>
      <c r="D52" s="129">
        <f t="shared" si="2"/>
        <v>46524</v>
      </c>
      <c r="E52" s="129" t="str">
        <f>IF(B52="","",IF(B52&lt;='Loan Terms'!$G$10,"Yes","No"))</f>
        <v>Yes</v>
      </c>
      <c r="F52" s="101">
        <f>IF(B52="","",IF('Loan Terms'!$C$13="Fixed",'Loan Terms'!$H$17,V52))</f>
        <v>6.5000000000000002E-2</v>
      </c>
      <c r="G52" s="12">
        <f t="shared" si="3"/>
        <v>6102353.4841628969</v>
      </c>
      <c r="H52" s="12">
        <f>IF(G52="","",IF('Loan Terms'!$C$13="Fixed",(E52="Yes")*J52+(E52="No")*'Loan Terms'!$H$19,PMT(F52/12,'Loan Terms'!$G$11-B52+1,-G52)))</f>
        <v>33054.414705882358</v>
      </c>
      <c r="I52" s="12">
        <f>IF(B52="","",IF(B52='Loan Terms'!$H$9*12,G52,H52-J52))</f>
        <v>0</v>
      </c>
      <c r="J52" s="130">
        <f>IF(B52="","",IF('Loan Terms'!$H$15="Actual/365",F52*(C52/365),F52*(C52/360))*G52)</f>
        <v>33054.414705882358</v>
      </c>
      <c r="K52" s="12">
        <f t="shared" si="0"/>
        <v>6102353.4841628969</v>
      </c>
      <c r="L52" s="130">
        <f t="shared" si="4"/>
        <v>33054.414705882358</v>
      </c>
      <c r="N52" s="14">
        <f t="shared" si="5"/>
        <v>0</v>
      </c>
      <c r="S52" s="217">
        <f t="shared" si="1"/>
        <v>46524</v>
      </c>
      <c r="T52" s="218">
        <v>2.9000000000000001E-2</v>
      </c>
      <c r="U52" s="219">
        <f>IF(S52="","",'Loan Terms'!$H$14)</f>
        <v>225</v>
      </c>
      <c r="V52" s="220">
        <f t="shared" si="6"/>
        <v>5.1500000000000004E-2</v>
      </c>
    </row>
    <row r="53" spans="2:22" ht="14.25" customHeight="1" x14ac:dyDescent="0.2">
      <c r="B53" s="126">
        <f>IF(OR(B52="",B52='Loan Terms'!$H$9*12),"",B52+1)</f>
        <v>48</v>
      </c>
      <c r="C53" s="128">
        <f>IF(B53="","",IF('Loan Terms'!$H$15="30/360",30,D53-D52))</f>
        <v>30</v>
      </c>
      <c r="D53" s="129">
        <f t="shared" si="2"/>
        <v>46555</v>
      </c>
      <c r="E53" s="129" t="str">
        <f>IF(B53="","",IF(B53&lt;='Loan Terms'!$G$10,"Yes","No"))</f>
        <v>Yes</v>
      </c>
      <c r="F53" s="101">
        <f>IF(B53="","",IF('Loan Terms'!$C$13="Fixed",'Loan Terms'!$H$17,V53))</f>
        <v>6.5000000000000002E-2</v>
      </c>
      <c r="G53" s="12">
        <f t="shared" si="3"/>
        <v>6102353.4841628969</v>
      </c>
      <c r="H53" s="12">
        <f>IF(G53="","",IF('Loan Terms'!$C$13="Fixed",(E53="Yes")*J53+(E53="No")*'Loan Terms'!$H$19,PMT(F53/12,'Loan Terms'!$G$11-B53+1,-G53)))</f>
        <v>33054.414705882358</v>
      </c>
      <c r="I53" s="12">
        <f>IF(B53="","",IF(B53='Loan Terms'!$H$9*12,G53,H53-J53))</f>
        <v>0</v>
      </c>
      <c r="J53" s="130">
        <f>IF(B53="","",IF('Loan Terms'!$H$15="Actual/365",F53*(C53/365),F53*(C53/360))*G53)</f>
        <v>33054.414705882358</v>
      </c>
      <c r="K53" s="12">
        <f t="shared" si="0"/>
        <v>6102353.4841628969</v>
      </c>
      <c r="L53" s="130">
        <f t="shared" si="4"/>
        <v>33054.414705882358</v>
      </c>
      <c r="N53" s="14">
        <f t="shared" si="5"/>
        <v>0</v>
      </c>
      <c r="S53" s="217">
        <f t="shared" si="1"/>
        <v>46555</v>
      </c>
      <c r="T53" s="218">
        <v>2.9000000000000001E-2</v>
      </c>
      <c r="U53" s="219">
        <f>IF(S53="","",'Loan Terms'!$H$14)</f>
        <v>225</v>
      </c>
      <c r="V53" s="220">
        <f t="shared" si="6"/>
        <v>5.1500000000000004E-2</v>
      </c>
    </row>
    <row r="54" spans="2:22" ht="14.25" customHeight="1" x14ac:dyDescent="0.2">
      <c r="B54" s="126">
        <f>IF(OR(B53="",B53='Loan Terms'!$H$9*12),"",B53+1)</f>
        <v>49</v>
      </c>
      <c r="C54" s="128">
        <f>IF(B54="","",IF('Loan Terms'!$H$15="30/360",30,D54-D53))</f>
        <v>30</v>
      </c>
      <c r="D54" s="129">
        <f t="shared" si="2"/>
        <v>46585</v>
      </c>
      <c r="E54" s="129" t="str">
        <f>IF(B54="","",IF(B54&lt;='Loan Terms'!$G$10,"Yes","No"))</f>
        <v>Yes</v>
      </c>
      <c r="F54" s="101">
        <f>IF(B54="","",IF('Loan Terms'!$C$13="Fixed",'Loan Terms'!$H$17,V54))</f>
        <v>6.5000000000000002E-2</v>
      </c>
      <c r="G54" s="12">
        <f t="shared" si="3"/>
        <v>6102353.4841628969</v>
      </c>
      <c r="H54" s="12">
        <f>IF(G54="","",IF('Loan Terms'!$C$13="Fixed",(E54="Yes")*J54+(E54="No")*'Loan Terms'!$H$19,PMT(F54/12,'Loan Terms'!$G$11-B54+1,-G54)))</f>
        <v>33054.414705882358</v>
      </c>
      <c r="I54" s="12">
        <f>IF(B54="","",IF(B54='Loan Terms'!$H$9*12,G54,H54-J54))</f>
        <v>0</v>
      </c>
      <c r="J54" s="130">
        <f>IF(B54="","",IF('Loan Terms'!$H$15="Actual/365",F54*(C54/365),F54*(C54/360))*G54)</f>
        <v>33054.414705882358</v>
      </c>
      <c r="K54" s="12">
        <f t="shared" si="0"/>
        <v>6102353.4841628969</v>
      </c>
      <c r="L54" s="130">
        <f t="shared" si="4"/>
        <v>33054.414705882358</v>
      </c>
      <c r="N54" s="14">
        <f t="shared" si="5"/>
        <v>0</v>
      </c>
      <c r="S54" s="217">
        <f t="shared" si="1"/>
        <v>46585</v>
      </c>
      <c r="T54" s="218">
        <v>2.8899999999999999E-2</v>
      </c>
      <c r="U54" s="219">
        <f>IF(S54="","",'Loan Terms'!$H$14)</f>
        <v>225</v>
      </c>
      <c r="V54" s="220">
        <f t="shared" si="6"/>
        <v>5.1400000000000001E-2</v>
      </c>
    </row>
    <row r="55" spans="2:22" ht="14.25" customHeight="1" x14ac:dyDescent="0.2">
      <c r="B55" s="126">
        <f>IF(OR(B54="",B54='Loan Terms'!$H$9*12),"",B54+1)</f>
        <v>50</v>
      </c>
      <c r="C55" s="128">
        <f>IF(B55="","",IF('Loan Terms'!$H$15="30/360",30,D55-D54))</f>
        <v>30</v>
      </c>
      <c r="D55" s="129">
        <f t="shared" si="2"/>
        <v>46616</v>
      </c>
      <c r="E55" s="129" t="str">
        <f>IF(B55="","",IF(B55&lt;='Loan Terms'!$G$10,"Yes","No"))</f>
        <v>Yes</v>
      </c>
      <c r="F55" s="101">
        <f>IF(B55="","",IF('Loan Terms'!$C$13="Fixed",'Loan Terms'!$H$17,V55))</f>
        <v>6.5000000000000002E-2</v>
      </c>
      <c r="G55" s="12">
        <f t="shared" si="3"/>
        <v>6102353.4841628969</v>
      </c>
      <c r="H55" s="12">
        <f>IF(G55="","",IF('Loan Terms'!$C$13="Fixed",(E55="Yes")*J55+(E55="No")*'Loan Terms'!$H$19,PMT(F55/12,'Loan Terms'!$G$11-B55+1,-G55)))</f>
        <v>33054.414705882358</v>
      </c>
      <c r="I55" s="12">
        <f>IF(B55="","",IF(B55='Loan Terms'!$H$9*12,G55,H55-J55))</f>
        <v>0</v>
      </c>
      <c r="J55" s="130">
        <f>IF(B55="","",IF('Loan Terms'!$H$15="Actual/365",F55*(C55/365),F55*(C55/360))*G55)</f>
        <v>33054.414705882358</v>
      </c>
      <c r="K55" s="12">
        <f t="shared" si="0"/>
        <v>6102353.4841628969</v>
      </c>
      <c r="L55" s="130">
        <f t="shared" si="4"/>
        <v>33054.414705882358</v>
      </c>
      <c r="N55" s="14">
        <f t="shared" si="5"/>
        <v>0</v>
      </c>
      <c r="S55" s="217">
        <f t="shared" si="1"/>
        <v>46616</v>
      </c>
      <c r="T55" s="218">
        <v>2.8899999999999999E-2</v>
      </c>
      <c r="U55" s="219">
        <f>IF(S55="","",'Loan Terms'!$H$14)</f>
        <v>225</v>
      </c>
      <c r="V55" s="220">
        <f t="shared" si="6"/>
        <v>5.1400000000000001E-2</v>
      </c>
    </row>
    <row r="56" spans="2:22" ht="14.25" customHeight="1" x14ac:dyDescent="0.2">
      <c r="B56" s="126">
        <f>IF(OR(B55="",B55='Loan Terms'!$H$9*12),"",B55+1)</f>
        <v>51</v>
      </c>
      <c r="C56" s="128">
        <f>IF(B56="","",IF('Loan Terms'!$H$15="30/360",30,D56-D55))</f>
        <v>30</v>
      </c>
      <c r="D56" s="129">
        <f t="shared" si="2"/>
        <v>46647</v>
      </c>
      <c r="E56" s="129" t="str">
        <f>IF(B56="","",IF(B56&lt;='Loan Terms'!$G$10,"Yes","No"))</f>
        <v>Yes</v>
      </c>
      <c r="F56" s="101">
        <f>IF(B56="","",IF('Loan Terms'!$C$13="Fixed",'Loan Terms'!$H$17,V56))</f>
        <v>6.5000000000000002E-2</v>
      </c>
      <c r="G56" s="12">
        <f t="shared" si="3"/>
        <v>6102353.4841628969</v>
      </c>
      <c r="H56" s="12">
        <f>IF(G56="","",IF('Loan Terms'!$C$13="Fixed",(E56="Yes")*J56+(E56="No")*'Loan Terms'!$H$19,PMT(F56/12,'Loan Terms'!$G$11-B56+1,-G56)))</f>
        <v>33054.414705882358</v>
      </c>
      <c r="I56" s="12">
        <f>IF(B56="","",IF(B56='Loan Terms'!$H$9*12,G56,H56-J56))</f>
        <v>0</v>
      </c>
      <c r="J56" s="130">
        <f>IF(B56="","",IF('Loan Terms'!$H$15="Actual/365",F56*(C56/365),F56*(C56/360))*G56)</f>
        <v>33054.414705882358</v>
      </c>
      <c r="K56" s="12">
        <f t="shared" si="0"/>
        <v>6102353.4841628969</v>
      </c>
      <c r="L56" s="130">
        <f t="shared" si="4"/>
        <v>33054.414705882358</v>
      </c>
      <c r="N56" s="14">
        <f t="shared" si="5"/>
        <v>0</v>
      </c>
      <c r="S56" s="217">
        <f t="shared" si="1"/>
        <v>46647</v>
      </c>
      <c r="T56" s="218">
        <v>2.8799999999999999E-2</v>
      </c>
      <c r="U56" s="219">
        <f>IF(S56="","",'Loan Terms'!$H$14)</f>
        <v>225</v>
      </c>
      <c r="V56" s="220">
        <f t="shared" si="6"/>
        <v>5.1299999999999998E-2</v>
      </c>
    </row>
    <row r="57" spans="2:22" ht="14.25" customHeight="1" x14ac:dyDescent="0.2">
      <c r="B57" s="126">
        <f>IF(OR(B56="",B56='Loan Terms'!$H$9*12),"",B56+1)</f>
        <v>52</v>
      </c>
      <c r="C57" s="128">
        <f>IF(B57="","",IF('Loan Terms'!$H$15="30/360",30,D57-D56))</f>
        <v>30</v>
      </c>
      <c r="D57" s="129">
        <f t="shared" si="2"/>
        <v>46677</v>
      </c>
      <c r="E57" s="129" t="str">
        <f>IF(B57="","",IF(B57&lt;='Loan Terms'!$G$10,"Yes","No"))</f>
        <v>Yes</v>
      </c>
      <c r="F57" s="101">
        <f>IF(B57="","",IF('Loan Terms'!$C$13="Fixed",'Loan Terms'!$H$17,V57))</f>
        <v>6.5000000000000002E-2</v>
      </c>
      <c r="G57" s="12">
        <f t="shared" si="3"/>
        <v>6102353.4841628969</v>
      </c>
      <c r="H57" s="12">
        <f>IF(G57="","",IF('Loan Terms'!$C$13="Fixed",(E57="Yes")*J57+(E57="No")*'Loan Terms'!$H$19,PMT(F57/12,'Loan Terms'!$G$11-B57+1,-G57)))</f>
        <v>33054.414705882358</v>
      </c>
      <c r="I57" s="12">
        <f>IF(B57="","",IF(B57='Loan Terms'!$H$9*12,G57,H57-J57))</f>
        <v>0</v>
      </c>
      <c r="J57" s="130">
        <f>IF(B57="","",IF('Loan Terms'!$H$15="Actual/365",F57*(C57/365),F57*(C57/360))*G57)</f>
        <v>33054.414705882358</v>
      </c>
      <c r="K57" s="12">
        <f t="shared" si="0"/>
        <v>6102353.4841628969</v>
      </c>
      <c r="L57" s="130">
        <f t="shared" si="4"/>
        <v>33054.414705882358</v>
      </c>
      <c r="N57" s="14">
        <f t="shared" si="5"/>
        <v>0</v>
      </c>
      <c r="S57" s="217">
        <f t="shared" si="1"/>
        <v>46677</v>
      </c>
      <c r="T57" s="218">
        <v>2.8799999999999999E-2</v>
      </c>
      <c r="U57" s="219">
        <f>IF(S57="","",'Loan Terms'!$H$14)</f>
        <v>225</v>
      </c>
      <c r="V57" s="220">
        <f t="shared" si="6"/>
        <v>5.1299999999999998E-2</v>
      </c>
    </row>
    <row r="58" spans="2:22" ht="14.25" customHeight="1" x14ac:dyDescent="0.2">
      <c r="B58" s="126">
        <f>IF(OR(B57="",B57='Loan Terms'!$H$9*12),"",B57+1)</f>
        <v>53</v>
      </c>
      <c r="C58" s="128">
        <f>IF(B58="","",IF('Loan Terms'!$H$15="30/360",30,D58-D57))</f>
        <v>30</v>
      </c>
      <c r="D58" s="129">
        <f t="shared" si="2"/>
        <v>46708</v>
      </c>
      <c r="E58" s="129" t="str">
        <f>IF(B58="","",IF(B58&lt;='Loan Terms'!$G$10,"Yes","No"))</f>
        <v>Yes</v>
      </c>
      <c r="F58" s="101">
        <f>IF(B58="","",IF('Loan Terms'!$C$13="Fixed",'Loan Terms'!$H$17,V58))</f>
        <v>6.5000000000000002E-2</v>
      </c>
      <c r="G58" s="12">
        <f t="shared" si="3"/>
        <v>6102353.4841628969</v>
      </c>
      <c r="H58" s="12">
        <f>IF(G58="","",IF('Loan Terms'!$C$13="Fixed",(E58="Yes")*J58+(E58="No")*'Loan Terms'!$H$19,PMT(F58/12,'Loan Terms'!$G$11-B58+1,-G58)))</f>
        <v>33054.414705882358</v>
      </c>
      <c r="I58" s="12">
        <f>IF(B58="","",IF(B58='Loan Terms'!$H$9*12,G58,H58-J58))</f>
        <v>0</v>
      </c>
      <c r="J58" s="130">
        <f>IF(B58="","",IF('Loan Terms'!$H$15="Actual/365",F58*(C58/365),F58*(C58/360))*G58)</f>
        <v>33054.414705882358</v>
      </c>
      <c r="K58" s="12">
        <f t="shared" si="0"/>
        <v>6102353.4841628969</v>
      </c>
      <c r="L58" s="130">
        <f t="shared" si="4"/>
        <v>33054.414705882358</v>
      </c>
      <c r="N58" s="14">
        <f t="shared" si="5"/>
        <v>0</v>
      </c>
      <c r="S58" s="217">
        <f t="shared" si="1"/>
        <v>46708</v>
      </c>
      <c r="T58" s="218">
        <v>2.8799999999999999E-2</v>
      </c>
      <c r="U58" s="219">
        <f>IF(S58="","",'Loan Terms'!$H$14)</f>
        <v>225</v>
      </c>
      <c r="V58" s="220">
        <f t="shared" si="6"/>
        <v>5.1299999999999998E-2</v>
      </c>
    </row>
    <row r="59" spans="2:22" ht="14.25" customHeight="1" x14ac:dyDescent="0.2">
      <c r="B59" s="126">
        <f>IF(OR(B58="",B58='Loan Terms'!$H$9*12),"",B58+1)</f>
        <v>54</v>
      </c>
      <c r="C59" s="128">
        <f>IF(B59="","",IF('Loan Terms'!$H$15="30/360",30,D59-D58))</f>
        <v>30</v>
      </c>
      <c r="D59" s="129">
        <f t="shared" si="2"/>
        <v>46738</v>
      </c>
      <c r="E59" s="129" t="str">
        <f>IF(B59="","",IF(B59&lt;='Loan Terms'!$G$10,"Yes","No"))</f>
        <v>Yes</v>
      </c>
      <c r="F59" s="101">
        <f>IF(B59="","",IF('Loan Terms'!$C$13="Fixed",'Loan Terms'!$H$17,V59))</f>
        <v>6.5000000000000002E-2</v>
      </c>
      <c r="G59" s="12">
        <f t="shared" si="3"/>
        <v>6102353.4841628969</v>
      </c>
      <c r="H59" s="12">
        <f>IF(G59="","",IF('Loan Terms'!$C$13="Fixed",(E59="Yes")*J59+(E59="No")*'Loan Terms'!$H$19,PMT(F59/12,'Loan Terms'!$G$11-B59+1,-G59)))</f>
        <v>33054.414705882358</v>
      </c>
      <c r="I59" s="12">
        <f>IF(B59="","",IF(B59='Loan Terms'!$H$9*12,G59,H59-J59))</f>
        <v>0</v>
      </c>
      <c r="J59" s="130">
        <f>IF(B59="","",IF('Loan Terms'!$H$15="Actual/365",F59*(C59/365),F59*(C59/360))*G59)</f>
        <v>33054.414705882358</v>
      </c>
      <c r="K59" s="12">
        <f t="shared" si="0"/>
        <v>6102353.4841628969</v>
      </c>
      <c r="L59" s="130">
        <f t="shared" si="4"/>
        <v>33054.414705882358</v>
      </c>
      <c r="N59" s="14">
        <f t="shared" si="5"/>
        <v>0</v>
      </c>
      <c r="S59" s="217">
        <f t="shared" si="1"/>
        <v>46738</v>
      </c>
      <c r="T59" s="218">
        <v>2.87E-2</v>
      </c>
      <c r="U59" s="219">
        <f>IF(S59="","",'Loan Terms'!$H$14)</f>
        <v>225</v>
      </c>
      <c r="V59" s="220">
        <f t="shared" si="6"/>
        <v>5.1199999999999996E-2</v>
      </c>
    </row>
    <row r="60" spans="2:22" ht="14.25" customHeight="1" x14ac:dyDescent="0.2">
      <c r="B60" s="126">
        <f>IF(OR(B59="",B59='Loan Terms'!$H$9*12),"",B59+1)</f>
        <v>55</v>
      </c>
      <c r="C60" s="128">
        <f>IF(B60="","",IF('Loan Terms'!$H$15="30/360",30,D60-D59))</f>
        <v>30</v>
      </c>
      <c r="D60" s="129">
        <f t="shared" si="2"/>
        <v>46769</v>
      </c>
      <c r="E60" s="129" t="str">
        <f>IF(B60="","",IF(B60&lt;='Loan Terms'!$G$10,"Yes","No"))</f>
        <v>Yes</v>
      </c>
      <c r="F60" s="101">
        <f>IF(B60="","",IF('Loan Terms'!$C$13="Fixed",'Loan Terms'!$H$17,V60))</f>
        <v>6.5000000000000002E-2</v>
      </c>
      <c r="G60" s="12">
        <f t="shared" si="3"/>
        <v>6102353.4841628969</v>
      </c>
      <c r="H60" s="12">
        <f>IF(G60="","",IF('Loan Terms'!$C$13="Fixed",(E60="Yes")*J60+(E60="No")*'Loan Terms'!$H$19,PMT(F60/12,'Loan Terms'!$G$11-B60+1,-G60)))</f>
        <v>33054.414705882358</v>
      </c>
      <c r="I60" s="12">
        <f>IF(B60="","",IF(B60='Loan Terms'!$H$9*12,G60,H60-J60))</f>
        <v>0</v>
      </c>
      <c r="J60" s="130">
        <f>IF(B60="","",IF('Loan Terms'!$H$15="Actual/365",F60*(C60/365),F60*(C60/360))*G60)</f>
        <v>33054.414705882358</v>
      </c>
      <c r="K60" s="12">
        <f t="shared" si="0"/>
        <v>6102353.4841628969</v>
      </c>
      <c r="L60" s="130">
        <f t="shared" si="4"/>
        <v>33054.414705882358</v>
      </c>
      <c r="N60" s="14">
        <f t="shared" si="5"/>
        <v>0</v>
      </c>
      <c r="S60" s="217">
        <f t="shared" si="1"/>
        <v>46769</v>
      </c>
      <c r="T60" s="218">
        <v>2.87E-2</v>
      </c>
      <c r="U60" s="219">
        <f>IF(S60="","",'Loan Terms'!$H$14)</f>
        <v>225</v>
      </c>
      <c r="V60" s="220">
        <f t="shared" si="6"/>
        <v>5.1199999999999996E-2</v>
      </c>
    </row>
    <row r="61" spans="2:22" ht="14.25" customHeight="1" x14ac:dyDescent="0.2">
      <c r="B61" s="126">
        <f>IF(OR(B60="",B60='Loan Terms'!$H$9*12),"",B60+1)</f>
        <v>56</v>
      </c>
      <c r="C61" s="128">
        <f>IF(B61="","",IF('Loan Terms'!$H$15="30/360",30,D61-D60))</f>
        <v>30</v>
      </c>
      <c r="D61" s="129">
        <f t="shared" si="2"/>
        <v>46800</v>
      </c>
      <c r="E61" s="129" t="str">
        <f>IF(B61="","",IF(B61&lt;='Loan Terms'!$G$10,"Yes","No"))</f>
        <v>Yes</v>
      </c>
      <c r="F61" s="101">
        <f>IF(B61="","",IF('Loan Terms'!$C$13="Fixed",'Loan Terms'!$H$17,V61))</f>
        <v>6.5000000000000002E-2</v>
      </c>
      <c r="G61" s="12">
        <f t="shared" si="3"/>
        <v>6102353.4841628969</v>
      </c>
      <c r="H61" s="12">
        <f>IF(G61="","",IF('Loan Terms'!$C$13="Fixed",(E61="Yes")*J61+(E61="No")*'Loan Terms'!$H$19,PMT(F61/12,'Loan Terms'!$G$11-B61+1,-G61)))</f>
        <v>33054.414705882358</v>
      </c>
      <c r="I61" s="12">
        <f>IF(B61="","",IF(B61='Loan Terms'!$H$9*12,G61,H61-J61))</f>
        <v>0</v>
      </c>
      <c r="J61" s="130">
        <f>IF(B61="","",IF('Loan Terms'!$H$15="Actual/365",F61*(C61/365),F61*(C61/360))*G61)</f>
        <v>33054.414705882358</v>
      </c>
      <c r="K61" s="12">
        <f t="shared" si="0"/>
        <v>6102353.4841628969</v>
      </c>
      <c r="L61" s="130">
        <f t="shared" si="4"/>
        <v>33054.414705882358</v>
      </c>
      <c r="N61" s="14">
        <f t="shared" si="5"/>
        <v>0</v>
      </c>
      <c r="S61" s="217">
        <f t="shared" si="1"/>
        <v>46800</v>
      </c>
      <c r="T61" s="218">
        <v>2.87E-2</v>
      </c>
      <c r="U61" s="219">
        <f>IF(S61="","",'Loan Terms'!$H$14)</f>
        <v>225</v>
      </c>
      <c r="V61" s="220">
        <f t="shared" si="6"/>
        <v>5.1199999999999996E-2</v>
      </c>
    </row>
    <row r="62" spans="2:22" ht="14.25" customHeight="1" x14ac:dyDescent="0.2">
      <c r="B62" s="126">
        <f>IF(OR(B61="",B61='Loan Terms'!$H$9*12),"",B61+1)</f>
        <v>57</v>
      </c>
      <c r="C62" s="128">
        <f>IF(B62="","",IF('Loan Terms'!$H$15="30/360",30,D62-D61))</f>
        <v>30</v>
      </c>
      <c r="D62" s="129">
        <f t="shared" si="2"/>
        <v>46829</v>
      </c>
      <c r="E62" s="129" t="str">
        <f>IF(B62="","",IF(B62&lt;='Loan Terms'!$G$10,"Yes","No"))</f>
        <v>Yes</v>
      </c>
      <c r="F62" s="101">
        <f>IF(B62="","",IF('Loan Terms'!$C$13="Fixed",'Loan Terms'!$H$17,V62))</f>
        <v>6.5000000000000002E-2</v>
      </c>
      <c r="G62" s="12">
        <f t="shared" si="3"/>
        <v>6102353.4841628969</v>
      </c>
      <c r="H62" s="12">
        <f>IF(G62="","",IF('Loan Terms'!$C$13="Fixed",(E62="Yes")*J62+(E62="No")*'Loan Terms'!$H$19,PMT(F62/12,'Loan Terms'!$G$11-B62+1,-G62)))</f>
        <v>33054.414705882358</v>
      </c>
      <c r="I62" s="12">
        <f>IF(B62="","",IF(B62='Loan Terms'!$H$9*12,G62,H62-J62))</f>
        <v>0</v>
      </c>
      <c r="J62" s="130">
        <f>IF(B62="","",IF('Loan Terms'!$H$15="Actual/365",F62*(C62/365),F62*(C62/360))*G62)</f>
        <v>33054.414705882358</v>
      </c>
      <c r="K62" s="12">
        <f t="shared" si="0"/>
        <v>6102353.4841628969</v>
      </c>
      <c r="L62" s="130">
        <f t="shared" si="4"/>
        <v>33054.414705882358</v>
      </c>
      <c r="N62" s="14">
        <f t="shared" si="5"/>
        <v>0</v>
      </c>
      <c r="S62" s="217">
        <f t="shared" si="1"/>
        <v>46829</v>
      </c>
      <c r="T62" s="218">
        <v>2.87E-2</v>
      </c>
      <c r="U62" s="219">
        <f>IF(S62="","",'Loan Terms'!$H$14)</f>
        <v>225</v>
      </c>
      <c r="V62" s="220">
        <f t="shared" si="6"/>
        <v>5.1199999999999996E-2</v>
      </c>
    </row>
    <row r="63" spans="2:22" ht="14.25" customHeight="1" x14ac:dyDescent="0.2">
      <c r="B63" s="126">
        <f>IF(OR(B62="",B62='Loan Terms'!$H$9*12),"",B62+1)</f>
        <v>58</v>
      </c>
      <c r="C63" s="128">
        <f>IF(B63="","",IF('Loan Terms'!$H$15="30/360",30,D63-D62))</f>
        <v>30</v>
      </c>
      <c r="D63" s="129">
        <f t="shared" si="2"/>
        <v>46860</v>
      </c>
      <c r="E63" s="129" t="str">
        <f>IF(B63="","",IF(B63&lt;='Loan Terms'!$G$10,"Yes","No"))</f>
        <v>Yes</v>
      </c>
      <c r="F63" s="101">
        <f>IF(B63="","",IF('Loan Terms'!$C$13="Fixed",'Loan Terms'!$H$17,V63))</f>
        <v>6.5000000000000002E-2</v>
      </c>
      <c r="G63" s="12">
        <f t="shared" si="3"/>
        <v>6102353.4841628969</v>
      </c>
      <c r="H63" s="12">
        <f>IF(G63="","",IF('Loan Terms'!$C$13="Fixed",(E63="Yes")*J63+(E63="No")*'Loan Terms'!$H$19,PMT(F63/12,'Loan Terms'!$G$11-B63+1,-G63)))</f>
        <v>33054.414705882358</v>
      </c>
      <c r="I63" s="12">
        <f>IF(B63="","",IF(B63='Loan Terms'!$H$9*12,G63,H63-J63))</f>
        <v>0</v>
      </c>
      <c r="J63" s="130">
        <f>IF(B63="","",IF('Loan Terms'!$H$15="Actual/365",F63*(C63/365),F63*(C63/360))*G63)</f>
        <v>33054.414705882358</v>
      </c>
      <c r="K63" s="12">
        <f t="shared" si="0"/>
        <v>6102353.4841628969</v>
      </c>
      <c r="L63" s="130">
        <f t="shared" si="4"/>
        <v>33054.414705882358</v>
      </c>
      <c r="N63" s="14">
        <f t="shared" si="5"/>
        <v>0</v>
      </c>
      <c r="S63" s="217">
        <f t="shared" si="1"/>
        <v>46860</v>
      </c>
      <c r="T63" s="218">
        <v>2.8799999999999999E-2</v>
      </c>
      <c r="U63" s="219">
        <f>IF(S63="","",'Loan Terms'!$H$14)</f>
        <v>225</v>
      </c>
      <c r="V63" s="220">
        <f t="shared" si="6"/>
        <v>5.1299999999999998E-2</v>
      </c>
    </row>
    <row r="64" spans="2:22" ht="14.25" customHeight="1" x14ac:dyDescent="0.2">
      <c r="B64" s="126">
        <f>IF(OR(B63="",B63='Loan Terms'!$H$9*12),"",B63+1)</f>
        <v>59</v>
      </c>
      <c r="C64" s="128">
        <f>IF(B64="","",IF('Loan Terms'!$H$15="30/360",30,D64-D63))</f>
        <v>30</v>
      </c>
      <c r="D64" s="129">
        <f t="shared" si="2"/>
        <v>46890</v>
      </c>
      <c r="E64" s="129" t="str">
        <f>IF(B64="","",IF(B64&lt;='Loan Terms'!$G$10,"Yes","No"))</f>
        <v>Yes</v>
      </c>
      <c r="F64" s="101">
        <f>IF(B64="","",IF('Loan Terms'!$C$13="Fixed",'Loan Terms'!$H$17,V64))</f>
        <v>6.5000000000000002E-2</v>
      </c>
      <c r="G64" s="12">
        <f t="shared" si="3"/>
        <v>6102353.4841628969</v>
      </c>
      <c r="H64" s="12">
        <f>IF(G64="","",IF('Loan Terms'!$C$13="Fixed",(E64="Yes")*J64+(E64="No")*'Loan Terms'!$H$19,PMT(F64/12,'Loan Terms'!$G$11-B64+1,-G64)))</f>
        <v>33054.414705882358</v>
      </c>
      <c r="I64" s="12">
        <f>IF(B64="","",IF(B64='Loan Terms'!$H$9*12,G64,H64-J64))</f>
        <v>0</v>
      </c>
      <c r="J64" s="130">
        <f>IF(B64="","",IF('Loan Terms'!$H$15="Actual/365",F64*(C64/365),F64*(C64/360))*G64)</f>
        <v>33054.414705882358</v>
      </c>
      <c r="K64" s="12">
        <f t="shared" si="0"/>
        <v>6102353.4841628969</v>
      </c>
      <c r="L64" s="130">
        <f t="shared" si="4"/>
        <v>33054.414705882358</v>
      </c>
      <c r="N64" s="14">
        <f t="shared" si="5"/>
        <v>0</v>
      </c>
      <c r="S64" s="217">
        <f t="shared" si="1"/>
        <v>46890</v>
      </c>
      <c r="T64" s="218">
        <v>2.8799999999999999E-2</v>
      </c>
      <c r="U64" s="219">
        <f>IF(S64="","",'Loan Terms'!$H$14)</f>
        <v>225</v>
      </c>
      <c r="V64" s="220">
        <f t="shared" si="6"/>
        <v>5.1299999999999998E-2</v>
      </c>
    </row>
    <row r="65" spans="2:22" ht="14.25" customHeight="1" x14ac:dyDescent="0.2">
      <c r="B65" s="126">
        <f>IF(OR(B64="",B64='Loan Terms'!$H$9*12),"",B64+1)</f>
        <v>60</v>
      </c>
      <c r="C65" s="128">
        <f>IF(B65="","",IF('Loan Terms'!$H$15="30/360",30,D65-D64))</f>
        <v>30</v>
      </c>
      <c r="D65" s="129">
        <f t="shared" si="2"/>
        <v>46921</v>
      </c>
      <c r="E65" s="129" t="str">
        <f>IF(B65="","",IF(B65&lt;='Loan Terms'!$G$10,"Yes","No"))</f>
        <v>Yes</v>
      </c>
      <c r="F65" s="101">
        <f>IF(B65="","",IF('Loan Terms'!$C$13="Fixed",'Loan Terms'!$H$17,V65))</f>
        <v>6.5000000000000002E-2</v>
      </c>
      <c r="G65" s="12">
        <f t="shared" si="3"/>
        <v>6102353.4841628969</v>
      </c>
      <c r="H65" s="12">
        <f>IF(G65="","",IF('Loan Terms'!$C$13="Fixed",(E65="Yes")*J65+(E65="No")*'Loan Terms'!$H$19,PMT(F65/12,'Loan Terms'!$G$11-B65+1,-G65)))</f>
        <v>33054.414705882358</v>
      </c>
      <c r="I65" s="12">
        <f>IF(B65="","",IF(B65='Loan Terms'!$H$9*12,G65,H65-J65))</f>
        <v>0</v>
      </c>
      <c r="J65" s="130">
        <f>IF(B65="","",IF('Loan Terms'!$H$15="Actual/365",F65*(C65/365),F65*(C65/360))*G65)</f>
        <v>33054.414705882358</v>
      </c>
      <c r="K65" s="12">
        <f t="shared" si="0"/>
        <v>6102353.4841628969</v>
      </c>
      <c r="L65" s="130">
        <f t="shared" si="4"/>
        <v>33054.414705882358</v>
      </c>
      <c r="N65" s="14">
        <f t="shared" si="5"/>
        <v>0</v>
      </c>
      <c r="S65" s="217">
        <f t="shared" si="1"/>
        <v>46921</v>
      </c>
      <c r="T65" s="218">
        <v>2.8799999999999999E-2</v>
      </c>
      <c r="U65" s="219">
        <f>IF(S65="","",'Loan Terms'!$H$14)</f>
        <v>225</v>
      </c>
      <c r="V65" s="220">
        <f t="shared" si="6"/>
        <v>5.1299999999999998E-2</v>
      </c>
    </row>
    <row r="66" spans="2:22" ht="14.25" customHeight="1" x14ac:dyDescent="0.2">
      <c r="B66" s="126">
        <f>IF(OR(B65="",B65='Loan Terms'!$H$9*12),"",B65+1)</f>
        <v>61</v>
      </c>
      <c r="C66" s="128">
        <f>IF(B66="","",IF('Loan Terms'!$H$15="30/360",30,D66-D65))</f>
        <v>30</v>
      </c>
      <c r="D66" s="129">
        <f t="shared" si="2"/>
        <v>46951</v>
      </c>
      <c r="E66" s="129" t="str">
        <f>IF(B66="","",IF(B66&lt;='Loan Terms'!$G$10,"Yes","No"))</f>
        <v>No</v>
      </c>
      <c r="F66" s="101">
        <f>IF(B66="","",IF('Loan Terms'!$C$13="Fixed",'Loan Terms'!$H$17,V66))</f>
        <v>6.5000000000000002E-2</v>
      </c>
      <c r="G66" s="12">
        <f t="shared" si="3"/>
        <v>6102353.4841628969</v>
      </c>
      <c r="H66" s="12">
        <f>IF(G66="","",IF('Loan Terms'!$C$13="Fixed",(E66="Yes")*J66+(E66="No")*'Loan Terms'!$H$19,PMT(F66/12,'Loan Terms'!$G$11-B66+1,-G66)))</f>
        <v>38571.025053902427</v>
      </c>
      <c r="I66" s="12">
        <f>IF(B66="","",IF(B66='Loan Terms'!$H$9*12,G66,H66-J66))</f>
        <v>5516.6103480200691</v>
      </c>
      <c r="J66" s="130">
        <f>IF(B66="","",IF('Loan Terms'!$H$15="Actual/365",F66*(C66/365),F66*(C66/360))*G66)</f>
        <v>33054.414705882358</v>
      </c>
      <c r="K66" s="12">
        <f t="shared" si="0"/>
        <v>6096836.8738148771</v>
      </c>
      <c r="L66" s="130">
        <f t="shared" si="4"/>
        <v>38571.025053902427</v>
      </c>
      <c r="N66" s="14">
        <f t="shared" si="5"/>
        <v>336513.23122922424</v>
      </c>
      <c r="S66" s="217">
        <f t="shared" si="1"/>
        <v>46951</v>
      </c>
      <c r="T66" s="218">
        <v>2.8799999999999999E-2</v>
      </c>
      <c r="U66" s="219">
        <f>IF(S66="","",'Loan Terms'!$H$14)</f>
        <v>225</v>
      </c>
      <c r="V66" s="220">
        <f t="shared" si="6"/>
        <v>5.1299999999999998E-2</v>
      </c>
    </row>
    <row r="67" spans="2:22" ht="14.25" customHeight="1" x14ac:dyDescent="0.2">
      <c r="B67" s="126">
        <f>IF(OR(B66="",B66='Loan Terms'!$H$9*12),"",B66+1)</f>
        <v>62</v>
      </c>
      <c r="C67" s="128">
        <f>IF(B67="","",IF('Loan Terms'!$H$15="30/360",30,D67-D66))</f>
        <v>30</v>
      </c>
      <c r="D67" s="129">
        <f t="shared" si="2"/>
        <v>46982</v>
      </c>
      <c r="E67" s="129" t="str">
        <f>IF(B67="","",IF(B67&lt;='Loan Terms'!$G$10,"Yes","No"))</f>
        <v>No</v>
      </c>
      <c r="F67" s="101">
        <f>IF(B67="","",IF('Loan Terms'!$C$13="Fixed",'Loan Terms'!$H$17,V67))</f>
        <v>6.5000000000000002E-2</v>
      </c>
      <c r="G67" s="12">
        <f t="shared" si="3"/>
        <v>6096836.8738148771</v>
      </c>
      <c r="H67" s="12">
        <f>IF(G67="","",IF('Loan Terms'!$C$13="Fixed",(E67="Yes")*J67+(E67="No")*'Loan Terms'!$H$19,PMT(F67/12,'Loan Terms'!$G$11-B67+1,-G67)))</f>
        <v>38571.025053902427</v>
      </c>
      <c r="I67" s="12">
        <f>IF(B67="","",IF(B67='Loan Terms'!$H$9*12,G67,H67-J67))</f>
        <v>5546.4919874051775</v>
      </c>
      <c r="J67" s="130">
        <f>IF(B67="","",IF('Loan Terms'!$H$15="Actual/365",F67*(C67/365),F67*(C67/360))*G67)</f>
        <v>33024.53306649725</v>
      </c>
      <c r="K67" s="12">
        <f t="shared" si="0"/>
        <v>6091290.3818274718</v>
      </c>
      <c r="L67" s="130">
        <f t="shared" si="4"/>
        <v>38571.025053902427</v>
      </c>
      <c r="N67" s="14">
        <f t="shared" si="5"/>
        <v>343882.50321912102</v>
      </c>
      <c r="S67" s="217">
        <f t="shared" si="1"/>
        <v>46982</v>
      </c>
      <c r="T67" s="218">
        <v>2.8899999999999999E-2</v>
      </c>
      <c r="U67" s="219">
        <f>IF(S67="","",'Loan Terms'!$H$14)</f>
        <v>225</v>
      </c>
      <c r="V67" s="220">
        <f t="shared" si="6"/>
        <v>5.1400000000000001E-2</v>
      </c>
    </row>
    <row r="68" spans="2:22" ht="14.25" customHeight="1" x14ac:dyDescent="0.2">
      <c r="B68" s="126">
        <f>IF(OR(B67="",B67='Loan Terms'!$H$9*12),"",B67+1)</f>
        <v>63</v>
      </c>
      <c r="C68" s="128">
        <f>IF(B68="","",IF('Loan Terms'!$H$15="30/360",30,D68-D67))</f>
        <v>30</v>
      </c>
      <c r="D68" s="129">
        <f t="shared" si="2"/>
        <v>47013</v>
      </c>
      <c r="E68" s="129" t="str">
        <f>IF(B68="","",IF(B68&lt;='Loan Terms'!$G$10,"Yes","No"))</f>
        <v>No</v>
      </c>
      <c r="F68" s="101">
        <f>IF(B68="","",IF('Loan Terms'!$C$13="Fixed",'Loan Terms'!$H$17,V68))</f>
        <v>6.5000000000000002E-2</v>
      </c>
      <c r="G68" s="12">
        <f t="shared" si="3"/>
        <v>6091290.3818274718</v>
      </c>
      <c r="H68" s="12">
        <f>IF(G68="","",IF('Loan Terms'!$C$13="Fixed",(E68="Yes")*J68+(E68="No")*'Loan Terms'!$H$19,PMT(F68/12,'Loan Terms'!$G$11-B68+1,-G68)))</f>
        <v>38571.025053902427</v>
      </c>
      <c r="I68" s="12">
        <f>IF(B68="","",IF(B68='Loan Terms'!$H$9*12,G68,H68-J68))</f>
        <v>5576.5354856702907</v>
      </c>
      <c r="J68" s="130">
        <f>IF(B68="","",IF('Loan Terms'!$H$15="Actual/365",F68*(C68/365),F68*(C68/360))*G68)</f>
        <v>32994.489568232137</v>
      </c>
      <c r="K68" s="12">
        <f t="shared" si="0"/>
        <v>6085713.8463418018</v>
      </c>
      <c r="L68" s="130">
        <f t="shared" si="4"/>
        <v>38571.025053902427</v>
      </c>
      <c r="N68" s="14">
        <f t="shared" si="5"/>
        <v>351321.73559722828</v>
      </c>
      <c r="S68" s="217">
        <f t="shared" si="1"/>
        <v>47013</v>
      </c>
      <c r="T68" s="218">
        <v>2.8899999999999999E-2</v>
      </c>
      <c r="U68" s="219">
        <f>IF(S68="","",'Loan Terms'!$H$14)</f>
        <v>225</v>
      </c>
      <c r="V68" s="220">
        <f t="shared" si="6"/>
        <v>5.1400000000000001E-2</v>
      </c>
    </row>
    <row r="69" spans="2:22" ht="14.25" customHeight="1" x14ac:dyDescent="0.2">
      <c r="B69" s="126">
        <f>IF(OR(B68="",B68='Loan Terms'!$H$9*12),"",B68+1)</f>
        <v>64</v>
      </c>
      <c r="C69" s="128">
        <f>IF(B69="","",IF('Loan Terms'!$H$15="30/360",30,D69-D68))</f>
        <v>30</v>
      </c>
      <c r="D69" s="129">
        <f t="shared" si="2"/>
        <v>47043</v>
      </c>
      <c r="E69" s="129" t="str">
        <f>IF(B69="","",IF(B69&lt;='Loan Terms'!$G$10,"Yes","No"))</f>
        <v>No</v>
      </c>
      <c r="F69" s="101">
        <f>IF(B69="","",IF('Loan Terms'!$C$13="Fixed",'Loan Terms'!$H$17,V69))</f>
        <v>6.5000000000000002E-2</v>
      </c>
      <c r="G69" s="12">
        <f t="shared" si="3"/>
        <v>6085713.8463418018</v>
      </c>
      <c r="H69" s="12">
        <f>IF(G69="","",IF('Loan Terms'!$C$13="Fixed",(E69="Yes")*J69+(E69="No")*'Loan Terms'!$H$19,PMT(F69/12,'Loan Terms'!$G$11-B69+1,-G69)))</f>
        <v>38571.025053902427</v>
      </c>
      <c r="I69" s="12">
        <f>IF(B69="","",IF(B69='Loan Terms'!$H$9*12,G69,H69-J69))</f>
        <v>5606.7417195509988</v>
      </c>
      <c r="J69" s="130">
        <f>IF(B69="","",IF('Loan Terms'!$H$15="Actual/365",F69*(C69/365),F69*(C69/360))*G69)</f>
        <v>32964.283334351428</v>
      </c>
      <c r="K69" s="12">
        <f t="shared" si="0"/>
        <v>6080107.1046222504</v>
      </c>
      <c r="L69" s="130">
        <f t="shared" si="4"/>
        <v>38571.025053902427</v>
      </c>
      <c r="N69" s="14">
        <f t="shared" si="5"/>
        <v>358831.47005126392</v>
      </c>
      <c r="S69" s="217">
        <f t="shared" si="1"/>
        <v>47043</v>
      </c>
      <c r="T69" s="218">
        <v>2.8899999999999999E-2</v>
      </c>
      <c r="U69" s="219">
        <f>IF(S69="","",'Loan Terms'!$H$14)</f>
        <v>225</v>
      </c>
      <c r="V69" s="220">
        <f t="shared" si="6"/>
        <v>5.1400000000000001E-2</v>
      </c>
    </row>
    <row r="70" spans="2:22" ht="14.25" customHeight="1" x14ac:dyDescent="0.2">
      <c r="B70" s="126">
        <f>IF(OR(B69="",B69='Loan Terms'!$H$9*12),"",B69+1)</f>
        <v>65</v>
      </c>
      <c r="C70" s="128">
        <f>IF(B70="","",IF('Loan Terms'!$H$15="30/360",30,D70-D69))</f>
        <v>30</v>
      </c>
      <c r="D70" s="129">
        <f t="shared" si="2"/>
        <v>47074</v>
      </c>
      <c r="E70" s="129" t="str">
        <f>IF(B70="","",IF(B70&lt;='Loan Terms'!$G$10,"Yes","No"))</f>
        <v>No</v>
      </c>
      <c r="F70" s="101">
        <f>IF(B70="","",IF('Loan Terms'!$C$13="Fixed",'Loan Terms'!$H$17,V70))</f>
        <v>6.5000000000000002E-2</v>
      </c>
      <c r="G70" s="12">
        <f t="shared" si="3"/>
        <v>6080107.1046222504</v>
      </c>
      <c r="H70" s="12">
        <f>IF(G70="","",IF('Loan Terms'!$C$13="Fixed",(E70="Yes")*J70+(E70="No")*'Loan Terms'!$H$19,PMT(F70/12,'Loan Terms'!$G$11-B70+1,-G70)))</f>
        <v>38571.025053902427</v>
      </c>
      <c r="I70" s="12">
        <f>IF(B70="","",IF(B70='Loan Terms'!$H$9*12,G70,H70-J70))</f>
        <v>5637.1115705319025</v>
      </c>
      <c r="J70" s="130">
        <f>IF(B70="","",IF('Loan Terms'!$H$15="Actual/365",F70*(C70/365),F70*(C70/360))*G70)</f>
        <v>32933.913483370525</v>
      </c>
      <c r="K70" s="12">
        <f t="shared" ref="K70:K133" si="7">IF(B70="","",G70-I70)</f>
        <v>6074469.9930517189</v>
      </c>
      <c r="L70" s="130">
        <f t="shared" si="4"/>
        <v>38571.025053902427</v>
      </c>
      <c r="N70" s="14">
        <f t="shared" si="5"/>
        <v>366412.25208457367</v>
      </c>
      <c r="S70" s="217">
        <f t="shared" ref="S70:S133" si="8">D70</f>
        <v>47074</v>
      </c>
      <c r="T70" s="218">
        <v>2.9000000000000001E-2</v>
      </c>
      <c r="U70" s="219">
        <f>IF(S70="","",'Loan Terms'!$H$14)</f>
        <v>225</v>
      </c>
      <c r="V70" s="220">
        <f t="shared" si="6"/>
        <v>5.1500000000000004E-2</v>
      </c>
    </row>
    <row r="71" spans="2:22" ht="14.25" customHeight="1" x14ac:dyDescent="0.2">
      <c r="B71" s="126">
        <f>IF(OR(B70="",B70='Loan Terms'!$H$9*12),"",B70+1)</f>
        <v>66</v>
      </c>
      <c r="C71" s="128">
        <f>IF(B71="","",IF('Loan Terms'!$H$15="30/360",30,D71-D70))</f>
        <v>30</v>
      </c>
      <c r="D71" s="129">
        <f t="shared" ref="D71:D134" si="9">IF(B71="","",EDATE(D70,1))</f>
        <v>47104</v>
      </c>
      <c r="E71" s="129" t="str">
        <f>IF(B71="","",IF(B71&lt;='Loan Terms'!$G$10,"Yes","No"))</f>
        <v>No</v>
      </c>
      <c r="F71" s="101">
        <f>IF(B71="","",IF('Loan Terms'!$C$13="Fixed",'Loan Terms'!$H$17,V71))</f>
        <v>6.5000000000000002E-2</v>
      </c>
      <c r="G71" s="12">
        <f t="shared" ref="G71:G134" si="10">IF(B71="","",K70)</f>
        <v>6074469.9930517189</v>
      </c>
      <c r="H71" s="12">
        <f>IF(G71="","",IF('Loan Terms'!$C$13="Fixed",(E71="Yes")*J71+(E71="No")*'Loan Terms'!$H$19,PMT(F71/12,'Loan Terms'!$G$11-B71+1,-G71)))</f>
        <v>38571.025053902427</v>
      </c>
      <c r="I71" s="12">
        <f>IF(B71="","",IF(B71='Loan Terms'!$H$9*12,G71,H71-J71))</f>
        <v>5667.6459248722822</v>
      </c>
      <c r="J71" s="130">
        <f>IF(B71="","",IF('Loan Terms'!$H$15="Actual/365",F71*(C71/365),F71*(C71/360))*G71)</f>
        <v>32903.379129030145</v>
      </c>
      <c r="K71" s="12">
        <f t="shared" si="7"/>
        <v>6068802.3471268462</v>
      </c>
      <c r="L71" s="130">
        <f t="shared" ref="L71:L134" si="11">IF(B71="","",J71+I71)</f>
        <v>38571.025053902427</v>
      </c>
      <c r="N71" s="14">
        <f t="shared" ref="N71:N134" si="12">IF(B71="","",I71*B71)</f>
        <v>374064.63104157062</v>
      </c>
      <c r="S71" s="217">
        <f t="shared" si="8"/>
        <v>47104</v>
      </c>
      <c r="T71" s="218">
        <v>2.9000000000000001E-2</v>
      </c>
      <c r="U71" s="219">
        <f>IF(S71="","",'Loan Terms'!$H$14)</f>
        <v>225</v>
      </c>
      <c r="V71" s="220">
        <f t="shared" ref="V71:V134" si="13">IF(S71="","",T71+U71/10000)</f>
        <v>5.1500000000000004E-2</v>
      </c>
    </row>
    <row r="72" spans="2:22" ht="14.25" customHeight="1" x14ac:dyDescent="0.2">
      <c r="B72" s="126">
        <f>IF(OR(B71="",B71='Loan Terms'!$H$9*12),"",B71+1)</f>
        <v>67</v>
      </c>
      <c r="C72" s="128">
        <f>IF(B72="","",IF('Loan Terms'!$H$15="30/360",30,D72-D71))</f>
        <v>30</v>
      </c>
      <c r="D72" s="129">
        <f t="shared" si="9"/>
        <v>47135</v>
      </c>
      <c r="E72" s="129" t="str">
        <f>IF(B72="","",IF(B72&lt;='Loan Terms'!$G$10,"Yes","No"))</f>
        <v>No</v>
      </c>
      <c r="F72" s="101">
        <f>IF(B72="","",IF('Loan Terms'!$C$13="Fixed",'Loan Terms'!$H$17,V72))</f>
        <v>6.5000000000000002E-2</v>
      </c>
      <c r="G72" s="12">
        <f t="shared" si="10"/>
        <v>6068802.3471268462</v>
      </c>
      <c r="H72" s="12">
        <f>IF(G72="","",IF('Loan Terms'!$C$13="Fixed",(E72="Yes")*J72+(E72="No")*'Loan Terms'!$H$19,PMT(F72/12,'Loan Terms'!$G$11-B72+1,-G72)))</f>
        <v>38571.025053902427</v>
      </c>
      <c r="I72" s="12">
        <f>IF(B72="","",IF(B72='Loan Terms'!$H$9*12,G72,H72-J72))</f>
        <v>5698.3456736320077</v>
      </c>
      <c r="J72" s="130">
        <f>IF(B72="","",IF('Loan Terms'!$H$15="Actual/365",F72*(C72/365),F72*(C72/360))*G72)</f>
        <v>32872.67938027042</v>
      </c>
      <c r="K72" s="12">
        <f t="shared" si="7"/>
        <v>6063104.0014532143</v>
      </c>
      <c r="L72" s="130">
        <f t="shared" si="11"/>
        <v>38571.025053902427</v>
      </c>
      <c r="N72" s="14">
        <f t="shared" si="12"/>
        <v>381789.16013334453</v>
      </c>
      <c r="S72" s="217">
        <f t="shared" si="8"/>
        <v>47135</v>
      </c>
      <c r="T72" s="218">
        <v>2.9000000000000001E-2</v>
      </c>
      <c r="U72" s="219">
        <f>IF(S72="","",'Loan Terms'!$H$14)</f>
        <v>225</v>
      </c>
      <c r="V72" s="220">
        <f t="shared" si="13"/>
        <v>5.1500000000000004E-2</v>
      </c>
    </row>
    <row r="73" spans="2:22" ht="14.25" customHeight="1" x14ac:dyDescent="0.2">
      <c r="B73" s="126">
        <f>IF(OR(B72="",B72='Loan Terms'!$H$9*12),"",B72+1)</f>
        <v>68</v>
      </c>
      <c r="C73" s="128">
        <f>IF(B73="","",IF('Loan Terms'!$H$15="30/360",30,D73-D72))</f>
        <v>30</v>
      </c>
      <c r="D73" s="129">
        <f t="shared" si="9"/>
        <v>47166</v>
      </c>
      <c r="E73" s="129" t="str">
        <f>IF(B73="","",IF(B73&lt;='Loan Terms'!$G$10,"Yes","No"))</f>
        <v>No</v>
      </c>
      <c r="F73" s="101">
        <f>IF(B73="","",IF('Loan Terms'!$C$13="Fixed",'Loan Terms'!$H$17,V73))</f>
        <v>6.5000000000000002E-2</v>
      </c>
      <c r="G73" s="12">
        <f t="shared" si="10"/>
        <v>6063104.0014532143</v>
      </c>
      <c r="H73" s="12">
        <f>IF(G73="","",IF('Loan Terms'!$C$13="Fixed",(E73="Yes")*J73+(E73="No")*'Loan Terms'!$H$19,PMT(F73/12,'Loan Terms'!$G$11-B73+1,-G73)))</f>
        <v>38571.025053902427</v>
      </c>
      <c r="I73" s="12">
        <f>IF(B73="","",IF(B73='Loan Terms'!$H$9*12,G73,H73-J73))</f>
        <v>5729.2117126975136</v>
      </c>
      <c r="J73" s="130">
        <f>IF(B73="","",IF('Loan Terms'!$H$15="Actual/365",F73*(C73/365),F73*(C73/360))*G73)</f>
        <v>32841.813341204914</v>
      </c>
      <c r="K73" s="12">
        <f t="shared" si="7"/>
        <v>6057374.7897405168</v>
      </c>
      <c r="L73" s="130">
        <f t="shared" si="11"/>
        <v>38571.025053902427</v>
      </c>
      <c r="N73" s="14">
        <f t="shared" si="12"/>
        <v>389586.39646343095</v>
      </c>
      <c r="S73" s="217">
        <f t="shared" si="8"/>
        <v>47166</v>
      </c>
      <c r="T73" s="218">
        <v>2.9000000000000001E-2</v>
      </c>
      <c r="U73" s="219">
        <f>IF(S73="","",'Loan Terms'!$H$14)</f>
        <v>225</v>
      </c>
      <c r="V73" s="220">
        <f t="shared" si="13"/>
        <v>5.1500000000000004E-2</v>
      </c>
    </row>
    <row r="74" spans="2:22" ht="14.25" customHeight="1" x14ac:dyDescent="0.2">
      <c r="B74" s="126">
        <f>IF(OR(B73="",B73='Loan Terms'!$H$9*12),"",B73+1)</f>
        <v>69</v>
      </c>
      <c r="C74" s="128">
        <f>IF(B74="","",IF('Loan Terms'!$H$15="30/360",30,D74-D73))</f>
        <v>30</v>
      </c>
      <c r="D74" s="129">
        <f t="shared" si="9"/>
        <v>47194</v>
      </c>
      <c r="E74" s="129" t="str">
        <f>IF(B74="","",IF(B74&lt;='Loan Terms'!$G$10,"Yes","No"))</f>
        <v>No</v>
      </c>
      <c r="F74" s="101">
        <f>IF(B74="","",IF('Loan Terms'!$C$13="Fixed",'Loan Terms'!$H$17,V74))</f>
        <v>6.5000000000000002E-2</v>
      </c>
      <c r="G74" s="12">
        <f t="shared" si="10"/>
        <v>6057374.7897405168</v>
      </c>
      <c r="H74" s="12">
        <f>IF(G74="","",IF('Loan Terms'!$C$13="Fixed",(E74="Yes")*J74+(E74="No")*'Loan Terms'!$H$19,PMT(F74/12,'Loan Terms'!$G$11-B74+1,-G74)))</f>
        <v>38571.025053902427</v>
      </c>
      <c r="I74" s="12">
        <f>IF(B74="","",IF(B74='Loan Terms'!$H$9*12,G74,H74-J74))</f>
        <v>5760.2449428079635</v>
      </c>
      <c r="J74" s="130">
        <f>IF(B74="","",IF('Loan Terms'!$H$15="Actual/365",F74*(C74/365),F74*(C74/360))*G74)</f>
        <v>32810.780111094464</v>
      </c>
      <c r="K74" s="12">
        <f t="shared" si="7"/>
        <v>6051614.5447977092</v>
      </c>
      <c r="L74" s="130">
        <f t="shared" si="11"/>
        <v>38571.025053902427</v>
      </c>
      <c r="N74" s="14">
        <f t="shared" si="12"/>
        <v>397456.90105374949</v>
      </c>
      <c r="S74" s="217">
        <f t="shared" si="8"/>
        <v>47194</v>
      </c>
      <c r="T74" s="218">
        <v>2.9100000000000001E-2</v>
      </c>
      <c r="U74" s="219">
        <f>IF(S74="","",'Loan Terms'!$H$14)</f>
        <v>225</v>
      </c>
      <c r="V74" s="220">
        <f t="shared" si="13"/>
        <v>5.16E-2</v>
      </c>
    </row>
    <row r="75" spans="2:22" ht="14.25" customHeight="1" x14ac:dyDescent="0.2">
      <c r="B75" s="126">
        <f>IF(OR(B74="",B74='Loan Terms'!$H$9*12),"",B74+1)</f>
        <v>70</v>
      </c>
      <c r="C75" s="128">
        <f>IF(B75="","",IF('Loan Terms'!$H$15="30/360",30,D75-D74))</f>
        <v>30</v>
      </c>
      <c r="D75" s="129">
        <f t="shared" si="9"/>
        <v>47225</v>
      </c>
      <c r="E75" s="129" t="str">
        <f>IF(B75="","",IF(B75&lt;='Loan Terms'!$G$10,"Yes","No"))</f>
        <v>No</v>
      </c>
      <c r="F75" s="101">
        <f>IF(B75="","",IF('Loan Terms'!$C$13="Fixed",'Loan Terms'!$H$17,V75))</f>
        <v>6.5000000000000002E-2</v>
      </c>
      <c r="G75" s="12">
        <f t="shared" si="10"/>
        <v>6051614.5447977092</v>
      </c>
      <c r="H75" s="12">
        <f>IF(G75="","",IF('Loan Terms'!$C$13="Fixed",(E75="Yes")*J75+(E75="No")*'Loan Terms'!$H$19,PMT(F75/12,'Loan Terms'!$G$11-B75+1,-G75)))</f>
        <v>38571.025053902427</v>
      </c>
      <c r="I75" s="12">
        <f>IF(B75="","",IF(B75='Loan Terms'!$H$9*12,G75,H75-J75))</f>
        <v>5791.4462695815018</v>
      </c>
      <c r="J75" s="130">
        <f>IF(B75="","",IF('Loan Terms'!$H$15="Actual/365",F75*(C75/365),F75*(C75/360))*G75)</f>
        <v>32779.578784320925</v>
      </c>
      <c r="K75" s="12">
        <f t="shared" si="7"/>
        <v>6045823.0985281281</v>
      </c>
      <c r="L75" s="130">
        <f t="shared" si="11"/>
        <v>38571.025053902427</v>
      </c>
      <c r="N75" s="14">
        <f t="shared" si="12"/>
        <v>405401.23887070513</v>
      </c>
      <c r="S75" s="217">
        <f t="shared" si="8"/>
        <v>47225</v>
      </c>
      <c r="T75" s="218">
        <v>2.9100000000000001E-2</v>
      </c>
      <c r="U75" s="219">
        <f>IF(S75="","",'Loan Terms'!$H$14)</f>
        <v>225</v>
      </c>
      <c r="V75" s="220">
        <f t="shared" si="13"/>
        <v>5.16E-2</v>
      </c>
    </row>
    <row r="76" spans="2:22" ht="14.25" customHeight="1" x14ac:dyDescent="0.2">
      <c r="B76" s="126">
        <f>IF(OR(B75="",B75='Loan Terms'!$H$9*12),"",B75+1)</f>
        <v>71</v>
      </c>
      <c r="C76" s="128">
        <f>IF(B76="","",IF('Loan Terms'!$H$15="30/360",30,D76-D75))</f>
        <v>30</v>
      </c>
      <c r="D76" s="129">
        <f t="shared" si="9"/>
        <v>47255</v>
      </c>
      <c r="E76" s="129" t="str">
        <f>IF(B76="","",IF(B76&lt;='Loan Terms'!$G$10,"Yes","No"))</f>
        <v>No</v>
      </c>
      <c r="F76" s="101">
        <f>IF(B76="","",IF('Loan Terms'!$C$13="Fixed",'Loan Terms'!$H$17,V76))</f>
        <v>6.5000000000000002E-2</v>
      </c>
      <c r="G76" s="12">
        <f t="shared" si="10"/>
        <v>6045823.0985281281</v>
      </c>
      <c r="H76" s="12">
        <f>IF(G76="","",IF('Loan Terms'!$C$13="Fixed",(E76="Yes")*J76+(E76="No")*'Loan Terms'!$H$19,PMT(F76/12,'Loan Terms'!$G$11-B76+1,-G76)))</f>
        <v>38571.025053902427</v>
      </c>
      <c r="I76" s="12">
        <f>IF(B76="","",IF(B76='Loan Terms'!$H$9*12,G76,H76-J76))</f>
        <v>5822.8166035417307</v>
      </c>
      <c r="J76" s="130">
        <f>IF(B76="","",IF('Loan Terms'!$H$15="Actual/365",F76*(C76/365),F76*(C76/360))*G76)</f>
        <v>32748.208450360697</v>
      </c>
      <c r="K76" s="12">
        <f t="shared" si="7"/>
        <v>6040000.2819245867</v>
      </c>
      <c r="L76" s="130">
        <f t="shared" si="11"/>
        <v>38571.025053902427</v>
      </c>
      <c r="N76" s="14">
        <f t="shared" si="12"/>
        <v>413419.97885146289</v>
      </c>
      <c r="S76" s="217">
        <f t="shared" si="8"/>
        <v>47255</v>
      </c>
      <c r="T76" s="218">
        <v>2.9100000000000001E-2</v>
      </c>
      <c r="U76" s="219">
        <f>IF(S76="","",'Loan Terms'!$H$14)</f>
        <v>225</v>
      </c>
      <c r="V76" s="220">
        <f t="shared" si="13"/>
        <v>5.16E-2</v>
      </c>
    </row>
    <row r="77" spans="2:22" ht="14.25" customHeight="1" x14ac:dyDescent="0.2">
      <c r="B77" s="126">
        <f>IF(OR(B76="",B76='Loan Terms'!$H$9*12),"",B76+1)</f>
        <v>72</v>
      </c>
      <c r="C77" s="128">
        <f>IF(B77="","",IF('Loan Terms'!$H$15="30/360",30,D77-D76))</f>
        <v>30</v>
      </c>
      <c r="D77" s="129">
        <f t="shared" si="9"/>
        <v>47286</v>
      </c>
      <c r="E77" s="129" t="str">
        <f>IF(B77="","",IF(B77&lt;='Loan Terms'!$G$10,"Yes","No"))</f>
        <v>No</v>
      </c>
      <c r="F77" s="101">
        <f>IF(B77="","",IF('Loan Terms'!$C$13="Fixed",'Loan Terms'!$H$17,V77))</f>
        <v>6.5000000000000002E-2</v>
      </c>
      <c r="G77" s="12">
        <f t="shared" si="10"/>
        <v>6040000.2819245867</v>
      </c>
      <c r="H77" s="12">
        <f>IF(G77="","",IF('Loan Terms'!$C$13="Fixed",(E77="Yes")*J77+(E77="No")*'Loan Terms'!$H$19,PMT(F77/12,'Loan Terms'!$G$11-B77+1,-G77)))</f>
        <v>38571.025053902427</v>
      </c>
      <c r="I77" s="12">
        <f>IF(B77="","",IF(B77='Loan Terms'!$H$9*12,G77,H77-J77))</f>
        <v>5854.3568601442494</v>
      </c>
      <c r="J77" s="130">
        <f>IF(B77="","",IF('Loan Terms'!$H$15="Actual/365",F77*(C77/365),F77*(C77/360))*G77)</f>
        <v>32716.668193758178</v>
      </c>
      <c r="K77" s="12">
        <f t="shared" si="7"/>
        <v>6034145.9250644427</v>
      </c>
      <c r="L77" s="130">
        <f t="shared" si="11"/>
        <v>38571.025053902427</v>
      </c>
      <c r="N77" s="14">
        <f t="shared" si="12"/>
        <v>421513.69393038598</v>
      </c>
      <c r="S77" s="217">
        <f t="shared" si="8"/>
        <v>47286</v>
      </c>
      <c r="T77" s="218">
        <v>2.92E-2</v>
      </c>
      <c r="U77" s="219">
        <f>IF(S77="","",'Loan Terms'!$H$14)</f>
        <v>225</v>
      </c>
      <c r="V77" s="220">
        <f t="shared" si="13"/>
        <v>5.1699999999999996E-2</v>
      </c>
    </row>
    <row r="78" spans="2:22" ht="14.25" customHeight="1" x14ac:dyDescent="0.2">
      <c r="B78" s="126">
        <f>IF(OR(B77="",B77='Loan Terms'!$H$9*12),"",B77+1)</f>
        <v>73</v>
      </c>
      <c r="C78" s="128">
        <f>IF(B78="","",IF('Loan Terms'!$H$15="30/360",30,D78-D77))</f>
        <v>30</v>
      </c>
      <c r="D78" s="129">
        <f t="shared" si="9"/>
        <v>47316</v>
      </c>
      <c r="E78" s="129" t="str">
        <f>IF(B78="","",IF(B78&lt;='Loan Terms'!$G$10,"Yes","No"))</f>
        <v>No</v>
      </c>
      <c r="F78" s="101">
        <f>IF(B78="","",IF('Loan Terms'!$C$13="Fixed",'Loan Terms'!$H$17,V78))</f>
        <v>6.5000000000000002E-2</v>
      </c>
      <c r="G78" s="12">
        <f t="shared" si="10"/>
        <v>6034145.9250644427</v>
      </c>
      <c r="H78" s="12">
        <f>IF(G78="","",IF('Loan Terms'!$C$13="Fixed",(E78="Yes")*J78+(E78="No")*'Loan Terms'!$H$19,PMT(F78/12,'Loan Terms'!$G$11-B78+1,-G78)))</f>
        <v>38571.025053902427</v>
      </c>
      <c r="I78" s="12">
        <f>IF(B78="","",IF(B78='Loan Terms'!$H$9*12,G78,H78-J78))</f>
        <v>5886.0679598033603</v>
      </c>
      <c r="J78" s="130">
        <f>IF(B78="","",IF('Loan Terms'!$H$15="Actual/365",F78*(C78/365),F78*(C78/360))*G78)</f>
        <v>32684.957094099067</v>
      </c>
      <c r="K78" s="12">
        <f t="shared" si="7"/>
        <v>6028259.8571046395</v>
      </c>
      <c r="L78" s="130">
        <f t="shared" si="11"/>
        <v>38571.025053902427</v>
      </c>
      <c r="N78" s="14">
        <f t="shared" si="12"/>
        <v>429682.96106564533</v>
      </c>
      <c r="S78" s="217">
        <f t="shared" si="8"/>
        <v>47316</v>
      </c>
      <c r="T78" s="218">
        <v>2.92E-2</v>
      </c>
      <c r="U78" s="219">
        <f>IF(S78="","",'Loan Terms'!$H$14)</f>
        <v>225</v>
      </c>
      <c r="V78" s="220">
        <f t="shared" si="13"/>
        <v>5.1699999999999996E-2</v>
      </c>
    </row>
    <row r="79" spans="2:22" ht="14.25" customHeight="1" x14ac:dyDescent="0.2">
      <c r="B79" s="126">
        <f>IF(OR(B78="",B78='Loan Terms'!$H$9*12),"",B78+1)</f>
        <v>74</v>
      </c>
      <c r="C79" s="128">
        <f>IF(B79="","",IF('Loan Terms'!$H$15="30/360",30,D79-D78))</f>
        <v>30</v>
      </c>
      <c r="D79" s="129">
        <f t="shared" si="9"/>
        <v>47347</v>
      </c>
      <c r="E79" s="129" t="str">
        <f>IF(B79="","",IF(B79&lt;='Loan Terms'!$G$10,"Yes","No"))</f>
        <v>No</v>
      </c>
      <c r="F79" s="101">
        <f>IF(B79="","",IF('Loan Terms'!$C$13="Fixed",'Loan Terms'!$H$17,V79))</f>
        <v>6.5000000000000002E-2</v>
      </c>
      <c r="G79" s="12">
        <f t="shared" si="10"/>
        <v>6028259.8571046395</v>
      </c>
      <c r="H79" s="12">
        <f>IF(G79="","",IF('Loan Terms'!$C$13="Fixed",(E79="Yes")*J79+(E79="No")*'Loan Terms'!$H$19,PMT(F79/12,'Loan Terms'!$G$11-B79+1,-G79)))</f>
        <v>38571.025053902427</v>
      </c>
      <c r="I79" s="12">
        <f>IF(B79="","",IF(B79='Loan Terms'!$H$9*12,G79,H79-J79))</f>
        <v>5917.9508279189613</v>
      </c>
      <c r="J79" s="130">
        <f>IF(B79="","",IF('Loan Terms'!$H$15="Actual/365",F79*(C79/365),F79*(C79/360))*G79)</f>
        <v>32653.074225983466</v>
      </c>
      <c r="K79" s="12">
        <f t="shared" si="7"/>
        <v>6022341.9062767206</v>
      </c>
      <c r="L79" s="130">
        <f t="shared" si="11"/>
        <v>38571.025053902427</v>
      </c>
      <c r="N79" s="14">
        <f t="shared" si="12"/>
        <v>437928.36126600311</v>
      </c>
      <c r="S79" s="217">
        <f t="shared" si="8"/>
        <v>47347</v>
      </c>
      <c r="T79" s="218">
        <v>2.92E-2</v>
      </c>
      <c r="U79" s="219">
        <f>IF(S79="","",'Loan Terms'!$H$14)</f>
        <v>225</v>
      </c>
      <c r="V79" s="220">
        <f t="shared" si="13"/>
        <v>5.1699999999999996E-2</v>
      </c>
    </row>
    <row r="80" spans="2:22" ht="14.25" customHeight="1" x14ac:dyDescent="0.2">
      <c r="B80" s="126">
        <f>IF(OR(B79="",B79='Loan Terms'!$H$9*12),"",B79+1)</f>
        <v>75</v>
      </c>
      <c r="C80" s="128">
        <f>IF(B80="","",IF('Loan Terms'!$H$15="30/360",30,D80-D79))</f>
        <v>30</v>
      </c>
      <c r="D80" s="129">
        <f t="shared" si="9"/>
        <v>47378</v>
      </c>
      <c r="E80" s="129" t="str">
        <f>IF(B80="","",IF(B80&lt;='Loan Terms'!$G$10,"Yes","No"))</f>
        <v>No</v>
      </c>
      <c r="F80" s="101">
        <f>IF(B80="","",IF('Loan Terms'!$C$13="Fixed",'Loan Terms'!$H$17,V80))</f>
        <v>6.5000000000000002E-2</v>
      </c>
      <c r="G80" s="12">
        <f t="shared" si="10"/>
        <v>6022341.9062767206</v>
      </c>
      <c r="H80" s="12">
        <f>IF(G80="","",IF('Loan Terms'!$C$13="Fixed",(E80="Yes")*J80+(E80="No")*'Loan Terms'!$H$19,PMT(F80/12,'Loan Terms'!$G$11-B80+1,-G80)))</f>
        <v>38571.025053902427</v>
      </c>
      <c r="I80" s="12">
        <f>IF(B80="","",IF(B80='Loan Terms'!$H$9*12,G80,H80-J80))</f>
        <v>5950.0063949035248</v>
      </c>
      <c r="J80" s="130">
        <f>IF(B80="","",IF('Loan Terms'!$H$15="Actual/365",F80*(C80/365),F80*(C80/360))*G80)</f>
        <v>32621.018658998903</v>
      </c>
      <c r="K80" s="12">
        <f t="shared" si="7"/>
        <v>6016391.8998818174</v>
      </c>
      <c r="L80" s="130">
        <f t="shared" si="11"/>
        <v>38571.025053902427</v>
      </c>
      <c r="N80" s="14">
        <f t="shared" si="12"/>
        <v>446250.47961776436</v>
      </c>
      <c r="S80" s="217">
        <f t="shared" si="8"/>
        <v>47378</v>
      </c>
      <c r="T80" s="218">
        <v>2.93E-2</v>
      </c>
      <c r="U80" s="219">
        <f>IF(S80="","",'Loan Terms'!$H$14)</f>
        <v>225</v>
      </c>
      <c r="V80" s="220">
        <f t="shared" si="13"/>
        <v>5.1799999999999999E-2</v>
      </c>
    </row>
    <row r="81" spans="2:22" ht="14.25" customHeight="1" x14ac:dyDescent="0.2">
      <c r="B81" s="126">
        <f>IF(OR(B80="",B80='Loan Terms'!$H$9*12),"",B80+1)</f>
        <v>76</v>
      </c>
      <c r="C81" s="128">
        <f>IF(B81="","",IF('Loan Terms'!$H$15="30/360",30,D81-D80))</f>
        <v>30</v>
      </c>
      <c r="D81" s="129">
        <f t="shared" si="9"/>
        <v>47408</v>
      </c>
      <c r="E81" s="129" t="str">
        <f>IF(B81="","",IF(B81&lt;='Loan Terms'!$G$10,"Yes","No"))</f>
        <v>No</v>
      </c>
      <c r="F81" s="101">
        <f>IF(B81="","",IF('Loan Terms'!$C$13="Fixed",'Loan Terms'!$H$17,V81))</f>
        <v>6.5000000000000002E-2</v>
      </c>
      <c r="G81" s="12">
        <f t="shared" si="10"/>
        <v>6016391.8998818174</v>
      </c>
      <c r="H81" s="12">
        <f>IF(G81="","",IF('Loan Terms'!$C$13="Fixed",(E81="Yes")*J81+(E81="No")*'Loan Terms'!$H$19,PMT(F81/12,'Loan Terms'!$G$11-B81+1,-G81)))</f>
        <v>38571.025053902427</v>
      </c>
      <c r="I81" s="12">
        <f>IF(B81="","",IF(B81='Loan Terms'!$H$9*12,G81,H81-J81))</f>
        <v>5982.2355962092479</v>
      </c>
      <c r="J81" s="130">
        <f>IF(B81="","",IF('Loan Terms'!$H$15="Actual/365",F81*(C81/365),F81*(C81/360))*G81)</f>
        <v>32588.789457693179</v>
      </c>
      <c r="K81" s="12">
        <f t="shared" si="7"/>
        <v>6010409.6642856086</v>
      </c>
      <c r="L81" s="130">
        <f t="shared" si="11"/>
        <v>38571.025053902427</v>
      </c>
      <c r="N81" s="14">
        <f t="shared" si="12"/>
        <v>454649.90531190287</v>
      </c>
      <c r="S81" s="217">
        <f t="shared" si="8"/>
        <v>47408</v>
      </c>
      <c r="T81" s="218">
        <v>2.93E-2</v>
      </c>
      <c r="U81" s="219">
        <f>IF(S81="","",'Loan Terms'!$H$14)</f>
        <v>225</v>
      </c>
      <c r="V81" s="220">
        <f t="shared" si="13"/>
        <v>5.1799999999999999E-2</v>
      </c>
    </row>
    <row r="82" spans="2:22" ht="14.25" customHeight="1" x14ac:dyDescent="0.2">
      <c r="B82" s="126">
        <f>IF(OR(B81="",B81='Loan Terms'!$H$9*12),"",B81+1)</f>
        <v>77</v>
      </c>
      <c r="C82" s="128">
        <f>IF(B82="","",IF('Loan Terms'!$H$15="30/360",30,D82-D81))</f>
        <v>30</v>
      </c>
      <c r="D82" s="129">
        <f t="shared" si="9"/>
        <v>47439</v>
      </c>
      <c r="E82" s="129" t="str">
        <f>IF(B82="","",IF(B82&lt;='Loan Terms'!$G$10,"Yes","No"))</f>
        <v>No</v>
      </c>
      <c r="F82" s="101">
        <f>IF(B82="","",IF('Loan Terms'!$C$13="Fixed",'Loan Terms'!$H$17,V82))</f>
        <v>6.5000000000000002E-2</v>
      </c>
      <c r="G82" s="12">
        <f t="shared" si="10"/>
        <v>6010409.6642856086</v>
      </c>
      <c r="H82" s="12">
        <f>IF(G82="","",IF('Loan Terms'!$C$13="Fixed",(E82="Yes")*J82+(E82="No")*'Loan Terms'!$H$19,PMT(F82/12,'Loan Terms'!$G$11-B82+1,-G82)))</f>
        <v>38571.025053902427</v>
      </c>
      <c r="I82" s="12">
        <f>IF(B82="","",IF(B82='Loan Terms'!$H$9*12,G82,H82-J82))</f>
        <v>6014.6393723553811</v>
      </c>
      <c r="J82" s="130">
        <f>IF(B82="","",IF('Loan Terms'!$H$15="Actual/365",F82*(C82/365),F82*(C82/360))*G82)</f>
        <v>32556.385681547046</v>
      </c>
      <c r="K82" s="12">
        <f t="shared" si="7"/>
        <v>6004395.0249132533</v>
      </c>
      <c r="L82" s="130">
        <f t="shared" si="11"/>
        <v>38571.025053902427</v>
      </c>
      <c r="N82" s="14">
        <f t="shared" si="12"/>
        <v>463127.23167136434</v>
      </c>
      <c r="S82" s="217">
        <f t="shared" si="8"/>
        <v>47439</v>
      </c>
      <c r="T82" s="218">
        <v>2.93E-2</v>
      </c>
      <c r="U82" s="219">
        <f>IF(S82="","",'Loan Terms'!$H$14)</f>
        <v>225</v>
      </c>
      <c r="V82" s="220">
        <f t="shared" si="13"/>
        <v>5.1799999999999999E-2</v>
      </c>
    </row>
    <row r="83" spans="2:22" ht="14.25" customHeight="1" x14ac:dyDescent="0.2">
      <c r="B83" s="126">
        <f>IF(OR(B82="",B82='Loan Terms'!$H$9*12),"",B82+1)</f>
        <v>78</v>
      </c>
      <c r="C83" s="128">
        <f>IF(B83="","",IF('Loan Terms'!$H$15="30/360",30,D83-D82))</f>
        <v>30</v>
      </c>
      <c r="D83" s="129">
        <f t="shared" si="9"/>
        <v>47469</v>
      </c>
      <c r="E83" s="129" t="str">
        <f>IF(B83="","",IF(B83&lt;='Loan Terms'!$G$10,"Yes","No"))</f>
        <v>No</v>
      </c>
      <c r="F83" s="101">
        <f>IF(B83="","",IF('Loan Terms'!$C$13="Fixed",'Loan Terms'!$H$17,V83))</f>
        <v>6.5000000000000002E-2</v>
      </c>
      <c r="G83" s="12">
        <f t="shared" si="10"/>
        <v>6004395.0249132533</v>
      </c>
      <c r="H83" s="12">
        <f>IF(G83="","",IF('Loan Terms'!$C$13="Fixed",(E83="Yes")*J83+(E83="No")*'Loan Terms'!$H$19,PMT(F83/12,'Loan Terms'!$G$11-B83+1,-G83)))</f>
        <v>38571.025053902427</v>
      </c>
      <c r="I83" s="12">
        <f>IF(B83="","",IF(B83='Loan Terms'!$H$9*12,G83,H83-J83))</f>
        <v>6047.2186689556365</v>
      </c>
      <c r="J83" s="130">
        <f>IF(B83="","",IF('Loan Terms'!$H$15="Actual/365",F83*(C83/365),F83*(C83/360))*G83)</f>
        <v>32523.806384946791</v>
      </c>
      <c r="K83" s="12">
        <f t="shared" si="7"/>
        <v>5998347.8062442979</v>
      </c>
      <c r="L83" s="130">
        <f t="shared" si="11"/>
        <v>38571.025053902427</v>
      </c>
      <c r="N83" s="14">
        <f t="shared" si="12"/>
        <v>471683.05617853964</v>
      </c>
      <c r="S83" s="217">
        <f t="shared" si="8"/>
        <v>47469</v>
      </c>
      <c r="T83" s="218">
        <v>2.9399999999999999E-2</v>
      </c>
      <c r="U83" s="219">
        <f>IF(S83="","",'Loan Terms'!$H$14)</f>
        <v>225</v>
      </c>
      <c r="V83" s="220">
        <f t="shared" si="13"/>
        <v>5.1900000000000002E-2</v>
      </c>
    </row>
    <row r="84" spans="2:22" ht="14.25" customHeight="1" x14ac:dyDescent="0.2">
      <c r="B84" s="126">
        <f>IF(OR(B83="",B83='Loan Terms'!$H$9*12),"",B83+1)</f>
        <v>79</v>
      </c>
      <c r="C84" s="128">
        <f>IF(B84="","",IF('Loan Terms'!$H$15="30/360",30,D84-D83))</f>
        <v>30</v>
      </c>
      <c r="D84" s="129">
        <f t="shared" si="9"/>
        <v>47500</v>
      </c>
      <c r="E84" s="129" t="str">
        <f>IF(B84="","",IF(B84&lt;='Loan Terms'!$G$10,"Yes","No"))</f>
        <v>No</v>
      </c>
      <c r="F84" s="101">
        <f>IF(B84="","",IF('Loan Terms'!$C$13="Fixed",'Loan Terms'!$H$17,V84))</f>
        <v>6.5000000000000002E-2</v>
      </c>
      <c r="G84" s="12">
        <f t="shared" si="10"/>
        <v>5998347.8062442979</v>
      </c>
      <c r="H84" s="12">
        <f>IF(G84="","",IF('Loan Terms'!$C$13="Fixed",(E84="Yes")*J84+(E84="No")*'Loan Terms'!$H$19,PMT(F84/12,'Loan Terms'!$G$11-B84+1,-G84)))</f>
        <v>38571.025053902427</v>
      </c>
      <c r="I84" s="12">
        <f>IF(B84="","",IF(B84='Loan Terms'!$H$9*12,G84,H84-J84))</f>
        <v>6079.9744367458115</v>
      </c>
      <c r="J84" s="130">
        <f>IF(B84="","",IF('Loan Terms'!$H$15="Actual/365",F84*(C84/365),F84*(C84/360))*G84)</f>
        <v>32491.050617156616</v>
      </c>
      <c r="K84" s="12">
        <f t="shared" si="7"/>
        <v>5992267.8318075519</v>
      </c>
      <c r="L84" s="130">
        <f t="shared" si="11"/>
        <v>38571.025053902427</v>
      </c>
      <c r="N84" s="14">
        <f t="shared" si="12"/>
        <v>480317.98050291912</v>
      </c>
      <c r="S84" s="217">
        <f t="shared" si="8"/>
        <v>47500</v>
      </c>
      <c r="T84" s="218">
        <v>2.9399999999999999E-2</v>
      </c>
      <c r="U84" s="219">
        <f>IF(S84="","",'Loan Terms'!$H$14)</f>
        <v>225</v>
      </c>
      <c r="V84" s="220">
        <f t="shared" si="13"/>
        <v>5.1900000000000002E-2</v>
      </c>
    </row>
    <row r="85" spans="2:22" ht="14.25" customHeight="1" x14ac:dyDescent="0.2">
      <c r="B85" s="126">
        <f>IF(OR(B84="",B84='Loan Terms'!$H$9*12),"",B84+1)</f>
        <v>80</v>
      </c>
      <c r="C85" s="128">
        <f>IF(B85="","",IF('Loan Terms'!$H$15="30/360",30,D85-D84))</f>
        <v>30</v>
      </c>
      <c r="D85" s="129">
        <f t="shared" si="9"/>
        <v>47531</v>
      </c>
      <c r="E85" s="129" t="str">
        <f>IF(B85="","",IF(B85&lt;='Loan Terms'!$G$10,"Yes","No"))</f>
        <v>No</v>
      </c>
      <c r="F85" s="101">
        <f>IF(B85="","",IF('Loan Terms'!$C$13="Fixed",'Loan Terms'!$H$17,V85))</f>
        <v>6.5000000000000002E-2</v>
      </c>
      <c r="G85" s="12">
        <f t="shared" si="10"/>
        <v>5992267.8318075519</v>
      </c>
      <c r="H85" s="12">
        <f>IF(G85="","",IF('Loan Terms'!$C$13="Fixed",(E85="Yes")*J85+(E85="No")*'Loan Terms'!$H$19,PMT(F85/12,'Loan Terms'!$G$11-B85+1,-G85)))</f>
        <v>38571.025053902427</v>
      </c>
      <c r="I85" s="12">
        <f>IF(B85="","",IF(B85='Loan Terms'!$H$9*12,G85,H85-J85))</f>
        <v>6112.9076316115206</v>
      </c>
      <c r="J85" s="130">
        <f>IF(B85="","",IF('Loan Terms'!$H$15="Actual/365",F85*(C85/365),F85*(C85/360))*G85)</f>
        <v>32458.117422290907</v>
      </c>
      <c r="K85" s="12">
        <f t="shared" si="7"/>
        <v>5986154.9241759405</v>
      </c>
      <c r="L85" s="130">
        <f t="shared" si="11"/>
        <v>38571.025053902427</v>
      </c>
      <c r="N85" s="14">
        <f t="shared" si="12"/>
        <v>489032.61052892165</v>
      </c>
      <c r="S85" s="217">
        <f t="shared" si="8"/>
        <v>47531</v>
      </c>
      <c r="T85" s="218">
        <v>2.9399999999999999E-2</v>
      </c>
      <c r="U85" s="219">
        <f>IF(S85="","",'Loan Terms'!$H$14)</f>
        <v>225</v>
      </c>
      <c r="V85" s="220">
        <f t="shared" si="13"/>
        <v>5.1900000000000002E-2</v>
      </c>
    </row>
    <row r="86" spans="2:22" ht="14.25" customHeight="1" x14ac:dyDescent="0.2">
      <c r="B86" s="126">
        <f>IF(OR(B85="",B85='Loan Terms'!$H$9*12),"",B85+1)</f>
        <v>81</v>
      </c>
      <c r="C86" s="128">
        <f>IF(B86="","",IF('Loan Terms'!$H$15="30/360",30,D86-D85))</f>
        <v>30</v>
      </c>
      <c r="D86" s="129">
        <f t="shared" si="9"/>
        <v>47559</v>
      </c>
      <c r="E86" s="129" t="str">
        <f>IF(B86="","",IF(B86&lt;='Loan Terms'!$G$10,"Yes","No"))</f>
        <v>No</v>
      </c>
      <c r="F86" s="101">
        <f>IF(B86="","",IF('Loan Terms'!$C$13="Fixed",'Loan Terms'!$H$17,V86))</f>
        <v>6.5000000000000002E-2</v>
      </c>
      <c r="G86" s="12">
        <f t="shared" si="10"/>
        <v>5986154.9241759405</v>
      </c>
      <c r="H86" s="12">
        <f>IF(G86="","",IF('Loan Terms'!$C$13="Fixed",(E86="Yes")*J86+(E86="No")*'Loan Terms'!$H$19,PMT(F86/12,'Loan Terms'!$G$11-B86+1,-G86)))</f>
        <v>38571.025053902427</v>
      </c>
      <c r="I86" s="12">
        <f>IF(B86="","",IF(B86='Loan Terms'!$H$9*12,G86,H86-J86))</f>
        <v>6146.0192146160807</v>
      </c>
      <c r="J86" s="130">
        <f>IF(B86="","",IF('Loan Terms'!$H$15="Actual/365",F86*(C86/365),F86*(C86/360))*G86)</f>
        <v>32425.005839286347</v>
      </c>
      <c r="K86" s="12">
        <f t="shared" si="7"/>
        <v>5980008.9049613243</v>
      </c>
      <c r="L86" s="130">
        <f t="shared" si="11"/>
        <v>38571.025053902427</v>
      </c>
      <c r="N86" s="14">
        <f t="shared" si="12"/>
        <v>497827.55638390256</v>
      </c>
      <c r="S86" s="217">
        <f t="shared" si="8"/>
        <v>47559</v>
      </c>
      <c r="T86" s="218">
        <v>2.9499999999999998E-2</v>
      </c>
      <c r="U86" s="219">
        <f>IF(S86="","",'Loan Terms'!$H$14)</f>
        <v>225</v>
      </c>
      <c r="V86" s="220">
        <f t="shared" si="13"/>
        <v>5.1999999999999998E-2</v>
      </c>
    </row>
    <row r="87" spans="2:22" ht="14.25" customHeight="1" x14ac:dyDescent="0.2">
      <c r="B87" s="126">
        <f>IF(OR(B86="",B86='Loan Terms'!$H$9*12),"",B86+1)</f>
        <v>82</v>
      </c>
      <c r="C87" s="128">
        <f>IF(B87="","",IF('Loan Terms'!$H$15="30/360",30,D87-D86))</f>
        <v>30</v>
      </c>
      <c r="D87" s="129">
        <f t="shared" si="9"/>
        <v>47590</v>
      </c>
      <c r="E87" s="129" t="str">
        <f>IF(B87="","",IF(B87&lt;='Loan Terms'!$G$10,"Yes","No"))</f>
        <v>No</v>
      </c>
      <c r="F87" s="101">
        <f>IF(B87="","",IF('Loan Terms'!$C$13="Fixed",'Loan Terms'!$H$17,V87))</f>
        <v>6.5000000000000002E-2</v>
      </c>
      <c r="G87" s="12">
        <f t="shared" si="10"/>
        <v>5980008.9049613243</v>
      </c>
      <c r="H87" s="12">
        <f>IF(G87="","",IF('Loan Terms'!$C$13="Fixed",(E87="Yes")*J87+(E87="No")*'Loan Terms'!$H$19,PMT(F87/12,'Loan Terms'!$G$11-B87+1,-G87)))</f>
        <v>38571.025053902427</v>
      </c>
      <c r="I87" s="12">
        <f>IF(B87="","",IF(B87='Loan Terms'!$H$9*12,G87,H87-J87))</f>
        <v>6179.3101520285854</v>
      </c>
      <c r="J87" s="130">
        <f>IF(B87="","",IF('Loan Terms'!$H$15="Actual/365",F87*(C87/365),F87*(C87/360))*G87)</f>
        <v>32391.714901873842</v>
      </c>
      <c r="K87" s="12">
        <f t="shared" si="7"/>
        <v>5973829.5948092956</v>
      </c>
      <c r="L87" s="130">
        <f t="shared" si="11"/>
        <v>38571.025053902427</v>
      </c>
      <c r="N87" s="14">
        <f t="shared" si="12"/>
        <v>506703.43246634398</v>
      </c>
      <c r="S87" s="217">
        <f t="shared" si="8"/>
        <v>47590</v>
      </c>
      <c r="T87" s="218">
        <v>2.9499999999999998E-2</v>
      </c>
      <c r="U87" s="219">
        <f>IF(S87="","",'Loan Terms'!$H$14)</f>
        <v>225</v>
      </c>
      <c r="V87" s="220">
        <f t="shared" si="13"/>
        <v>5.1999999999999998E-2</v>
      </c>
    </row>
    <row r="88" spans="2:22" ht="14.25" customHeight="1" x14ac:dyDescent="0.2">
      <c r="B88" s="126">
        <f>IF(OR(B87="",B87='Loan Terms'!$H$9*12),"",B87+1)</f>
        <v>83</v>
      </c>
      <c r="C88" s="128">
        <f>IF(B88="","",IF('Loan Terms'!$H$15="30/360",30,D88-D87))</f>
        <v>30</v>
      </c>
      <c r="D88" s="129">
        <f t="shared" si="9"/>
        <v>47620</v>
      </c>
      <c r="E88" s="129" t="str">
        <f>IF(B88="","",IF(B88&lt;='Loan Terms'!$G$10,"Yes","No"))</f>
        <v>No</v>
      </c>
      <c r="F88" s="101">
        <f>IF(B88="","",IF('Loan Terms'!$C$13="Fixed",'Loan Terms'!$H$17,V88))</f>
        <v>6.5000000000000002E-2</v>
      </c>
      <c r="G88" s="12">
        <f t="shared" si="10"/>
        <v>5973829.5948092956</v>
      </c>
      <c r="H88" s="12">
        <f>IF(G88="","",IF('Loan Terms'!$C$13="Fixed",(E88="Yes")*J88+(E88="No")*'Loan Terms'!$H$19,PMT(F88/12,'Loan Terms'!$G$11-B88+1,-G88)))</f>
        <v>38571.025053902427</v>
      </c>
      <c r="I88" s="12">
        <f>IF(B88="","",IF(B88='Loan Terms'!$H$9*12,G88,H88-J88))</f>
        <v>6212.781415352074</v>
      </c>
      <c r="J88" s="130">
        <f>IF(B88="","",IF('Loan Terms'!$H$15="Actual/365",F88*(C88/365),F88*(C88/360))*G88)</f>
        <v>32358.243638550353</v>
      </c>
      <c r="K88" s="12">
        <f t="shared" si="7"/>
        <v>5967616.8133939439</v>
      </c>
      <c r="L88" s="130">
        <f t="shared" si="11"/>
        <v>38571.025053902427</v>
      </c>
      <c r="N88" s="14">
        <f t="shared" si="12"/>
        <v>515660.85747422214</v>
      </c>
      <c r="S88" s="217">
        <f t="shared" si="8"/>
        <v>47620</v>
      </c>
      <c r="T88" s="218">
        <v>2.9499999999999998E-2</v>
      </c>
      <c r="U88" s="219">
        <f>IF(S88="","",'Loan Terms'!$H$14)</f>
        <v>225</v>
      </c>
      <c r="V88" s="220">
        <f t="shared" si="13"/>
        <v>5.1999999999999998E-2</v>
      </c>
    </row>
    <row r="89" spans="2:22" ht="14.25" customHeight="1" x14ac:dyDescent="0.2">
      <c r="B89" s="126">
        <f>IF(OR(B88="",B88='Loan Terms'!$H$9*12),"",B88+1)</f>
        <v>84</v>
      </c>
      <c r="C89" s="128">
        <f>IF(B89="","",IF('Loan Terms'!$H$15="30/360",30,D89-D88))</f>
        <v>30</v>
      </c>
      <c r="D89" s="129">
        <f t="shared" si="9"/>
        <v>47651</v>
      </c>
      <c r="E89" s="129" t="str">
        <f>IF(B89="","",IF(B89&lt;='Loan Terms'!$G$10,"Yes","No"))</f>
        <v>No</v>
      </c>
      <c r="F89" s="101">
        <f>IF(B89="","",IF('Loan Terms'!$C$13="Fixed",'Loan Terms'!$H$17,V89))</f>
        <v>6.5000000000000002E-2</v>
      </c>
      <c r="G89" s="12">
        <f t="shared" si="10"/>
        <v>5967616.8133939439</v>
      </c>
      <c r="H89" s="12">
        <f>IF(G89="","",IF('Loan Terms'!$C$13="Fixed",(E89="Yes")*J89+(E89="No")*'Loan Terms'!$H$19,PMT(F89/12,'Loan Terms'!$G$11-B89+1,-G89)))</f>
        <v>38571.025053902427</v>
      </c>
      <c r="I89" s="12">
        <f>IF(B89="","",IF(B89='Loan Terms'!$H$9*12,G89,H89-J89))</f>
        <v>6246.4339813518964</v>
      </c>
      <c r="J89" s="130">
        <f>IF(B89="","",IF('Loan Terms'!$H$15="Actual/365",F89*(C89/365),F89*(C89/360))*G89)</f>
        <v>32324.591072550531</v>
      </c>
      <c r="K89" s="12">
        <f t="shared" si="7"/>
        <v>5961370.3794125924</v>
      </c>
      <c r="L89" s="130">
        <f t="shared" si="11"/>
        <v>38571.025053902427</v>
      </c>
      <c r="N89" s="14">
        <f t="shared" si="12"/>
        <v>524700.45443355932</v>
      </c>
      <c r="S89" s="217">
        <f t="shared" si="8"/>
        <v>47651</v>
      </c>
      <c r="T89" s="218">
        <v>2.9499999999999998E-2</v>
      </c>
      <c r="U89" s="219">
        <f>IF(S89="","",'Loan Terms'!$H$14)</f>
        <v>225</v>
      </c>
      <c r="V89" s="220">
        <f t="shared" si="13"/>
        <v>5.1999999999999998E-2</v>
      </c>
    </row>
    <row r="90" spans="2:22" ht="14.25" customHeight="1" x14ac:dyDescent="0.2">
      <c r="B90" s="126">
        <f>IF(OR(B89="",B89='Loan Terms'!$H$9*12),"",B89+1)</f>
        <v>85</v>
      </c>
      <c r="C90" s="128">
        <f>IF(B90="","",IF('Loan Terms'!$H$15="30/360",30,D90-D89))</f>
        <v>30</v>
      </c>
      <c r="D90" s="129">
        <f t="shared" si="9"/>
        <v>47681</v>
      </c>
      <c r="E90" s="129" t="str">
        <f>IF(B90="","",IF(B90&lt;='Loan Terms'!$G$10,"Yes","No"))</f>
        <v>No</v>
      </c>
      <c r="F90" s="101">
        <f>IF(B90="","",IF('Loan Terms'!$C$13="Fixed",'Loan Terms'!$H$17,V90))</f>
        <v>6.5000000000000002E-2</v>
      </c>
      <c r="G90" s="12">
        <f t="shared" si="10"/>
        <v>5961370.3794125924</v>
      </c>
      <c r="H90" s="12">
        <f>IF(G90="","",IF('Loan Terms'!$C$13="Fixed",(E90="Yes")*J90+(E90="No")*'Loan Terms'!$H$19,PMT(F90/12,'Loan Terms'!$G$11-B90+1,-G90)))</f>
        <v>38571.025053902427</v>
      </c>
      <c r="I90" s="12">
        <f>IF(B90="","",IF(B90='Loan Terms'!$H$9*12,G90,H90-J90))</f>
        <v>6280.2688320842171</v>
      </c>
      <c r="J90" s="130">
        <f>IF(B90="","",IF('Loan Terms'!$H$15="Actual/365",F90*(C90/365),F90*(C90/360))*G90)</f>
        <v>32290.75622181821</v>
      </c>
      <c r="K90" s="12">
        <f t="shared" si="7"/>
        <v>5955090.1105805086</v>
      </c>
      <c r="L90" s="130">
        <f t="shared" si="11"/>
        <v>38571.025053902427</v>
      </c>
      <c r="N90" s="14">
        <f t="shared" si="12"/>
        <v>533822.85072715848</v>
      </c>
      <c r="S90" s="217">
        <f t="shared" si="8"/>
        <v>47681</v>
      </c>
      <c r="T90" s="218">
        <v>2.9600000000000001E-2</v>
      </c>
      <c r="U90" s="219">
        <f>IF(S90="","",'Loan Terms'!$H$14)</f>
        <v>225</v>
      </c>
      <c r="V90" s="220">
        <f t="shared" si="13"/>
        <v>5.21E-2</v>
      </c>
    </row>
    <row r="91" spans="2:22" ht="14.25" customHeight="1" x14ac:dyDescent="0.2">
      <c r="B91" s="126">
        <f>IF(OR(B90="",B90='Loan Terms'!$H$9*12),"",B90+1)</f>
        <v>86</v>
      </c>
      <c r="C91" s="128">
        <f>IF(B91="","",IF('Loan Terms'!$H$15="30/360",30,D91-D90))</f>
        <v>30</v>
      </c>
      <c r="D91" s="129">
        <f t="shared" si="9"/>
        <v>47712</v>
      </c>
      <c r="E91" s="129" t="str">
        <f>IF(B91="","",IF(B91&lt;='Loan Terms'!$G$10,"Yes","No"))</f>
        <v>No</v>
      </c>
      <c r="F91" s="101">
        <f>IF(B91="","",IF('Loan Terms'!$C$13="Fixed",'Loan Terms'!$H$17,V91))</f>
        <v>6.5000000000000002E-2</v>
      </c>
      <c r="G91" s="12">
        <f t="shared" si="10"/>
        <v>5955090.1105805086</v>
      </c>
      <c r="H91" s="12">
        <f>IF(G91="","",IF('Loan Terms'!$C$13="Fixed",(E91="Yes")*J91+(E91="No")*'Loan Terms'!$H$19,PMT(F91/12,'Loan Terms'!$G$11-B91+1,-G91)))</f>
        <v>38571.025053902427</v>
      </c>
      <c r="I91" s="12">
        <f>IF(B91="","",IF(B91='Loan Terms'!$H$9*12,G91,H91-J91))</f>
        <v>6314.2869549246716</v>
      </c>
      <c r="J91" s="130">
        <f>IF(B91="","",IF('Loan Terms'!$H$15="Actual/365",F91*(C91/365),F91*(C91/360))*G91)</f>
        <v>32256.738098977756</v>
      </c>
      <c r="K91" s="12">
        <f t="shared" si="7"/>
        <v>5948775.8236255841</v>
      </c>
      <c r="L91" s="130">
        <f t="shared" si="11"/>
        <v>38571.025053902427</v>
      </c>
      <c r="N91" s="14">
        <f t="shared" si="12"/>
        <v>543028.67812352173</v>
      </c>
      <c r="S91" s="217">
        <f t="shared" si="8"/>
        <v>47712</v>
      </c>
      <c r="T91" s="218">
        <v>2.9600000000000001E-2</v>
      </c>
      <c r="U91" s="219">
        <f>IF(S91="","",'Loan Terms'!$H$14)</f>
        <v>225</v>
      </c>
      <c r="V91" s="220">
        <f t="shared" si="13"/>
        <v>5.21E-2</v>
      </c>
    </row>
    <row r="92" spans="2:22" ht="14.25" customHeight="1" x14ac:dyDescent="0.2">
      <c r="B92" s="126">
        <f>IF(OR(B91="",B91='Loan Terms'!$H$9*12),"",B91+1)</f>
        <v>87</v>
      </c>
      <c r="C92" s="128">
        <f>IF(B92="","",IF('Loan Terms'!$H$15="30/360",30,D92-D91))</f>
        <v>30</v>
      </c>
      <c r="D92" s="129">
        <f t="shared" si="9"/>
        <v>47743</v>
      </c>
      <c r="E92" s="129" t="str">
        <f>IF(B92="","",IF(B92&lt;='Loan Terms'!$G$10,"Yes","No"))</f>
        <v>No</v>
      </c>
      <c r="F92" s="101">
        <f>IF(B92="","",IF('Loan Terms'!$C$13="Fixed",'Loan Terms'!$H$17,V92))</f>
        <v>6.5000000000000002E-2</v>
      </c>
      <c r="G92" s="12">
        <f t="shared" si="10"/>
        <v>5948775.8236255841</v>
      </c>
      <c r="H92" s="12">
        <f>IF(G92="","",IF('Loan Terms'!$C$13="Fixed",(E92="Yes")*J92+(E92="No")*'Loan Terms'!$H$19,PMT(F92/12,'Loan Terms'!$G$11-B92+1,-G92)))</f>
        <v>38571.025053902427</v>
      </c>
      <c r="I92" s="12">
        <f>IF(B92="","",IF(B92='Loan Terms'!$H$9*12,G92,H92-J92))</f>
        <v>6348.4893425971786</v>
      </c>
      <c r="J92" s="130">
        <f>IF(B92="","",IF('Loan Terms'!$H$15="Actual/365",F92*(C92/365),F92*(C92/360))*G92)</f>
        <v>32222.535711305249</v>
      </c>
      <c r="K92" s="12">
        <f t="shared" si="7"/>
        <v>5942427.3342829868</v>
      </c>
      <c r="L92" s="130">
        <f t="shared" si="11"/>
        <v>38571.025053902427</v>
      </c>
      <c r="N92" s="14">
        <f t="shared" si="12"/>
        <v>552318.57280595449</v>
      </c>
      <c r="S92" s="217">
        <f t="shared" si="8"/>
        <v>47743</v>
      </c>
      <c r="T92" s="218">
        <v>2.9600000000000001E-2</v>
      </c>
      <c r="U92" s="219">
        <f>IF(S92="","",'Loan Terms'!$H$14)</f>
        <v>225</v>
      </c>
      <c r="V92" s="220">
        <f t="shared" si="13"/>
        <v>5.21E-2</v>
      </c>
    </row>
    <row r="93" spans="2:22" ht="14.25" customHeight="1" x14ac:dyDescent="0.2">
      <c r="B93" s="126">
        <f>IF(OR(B92="",B92='Loan Terms'!$H$9*12),"",B92+1)</f>
        <v>88</v>
      </c>
      <c r="C93" s="128">
        <f>IF(B93="","",IF('Loan Terms'!$H$15="30/360",30,D93-D92))</f>
        <v>30</v>
      </c>
      <c r="D93" s="129">
        <f t="shared" si="9"/>
        <v>47773</v>
      </c>
      <c r="E93" s="129" t="str">
        <f>IF(B93="","",IF(B93&lt;='Loan Terms'!$G$10,"Yes","No"))</f>
        <v>No</v>
      </c>
      <c r="F93" s="101">
        <f>IF(B93="","",IF('Loan Terms'!$C$13="Fixed",'Loan Terms'!$H$17,V93))</f>
        <v>6.5000000000000002E-2</v>
      </c>
      <c r="G93" s="12">
        <f t="shared" si="10"/>
        <v>5942427.3342829868</v>
      </c>
      <c r="H93" s="12">
        <f>IF(G93="","",IF('Loan Terms'!$C$13="Fixed",(E93="Yes")*J93+(E93="No")*'Loan Terms'!$H$19,PMT(F93/12,'Loan Terms'!$G$11-B93+1,-G93)))</f>
        <v>38571.025053902427</v>
      </c>
      <c r="I93" s="12">
        <f>IF(B93="","",IF(B93='Loan Terms'!$H$9*12,G93,H93-J93))</f>
        <v>6382.8769932029136</v>
      </c>
      <c r="J93" s="130">
        <f>IF(B93="","",IF('Loan Terms'!$H$15="Actual/365",F93*(C93/365),F93*(C93/360))*G93)</f>
        <v>32188.148060699514</v>
      </c>
      <c r="K93" s="12">
        <f t="shared" si="7"/>
        <v>5936044.4572897842</v>
      </c>
      <c r="L93" s="130">
        <f t="shared" si="11"/>
        <v>38571.025053902427</v>
      </c>
      <c r="N93" s="14">
        <f t="shared" si="12"/>
        <v>561693.17540185642</v>
      </c>
      <c r="S93" s="217">
        <f t="shared" si="8"/>
        <v>47773</v>
      </c>
      <c r="T93" s="218">
        <v>2.9700000000000001E-2</v>
      </c>
      <c r="U93" s="219">
        <f>IF(S93="","",'Loan Terms'!$H$14)</f>
        <v>225</v>
      </c>
      <c r="V93" s="220">
        <f t="shared" si="13"/>
        <v>5.2199999999999996E-2</v>
      </c>
    </row>
    <row r="94" spans="2:22" ht="14.25" customHeight="1" x14ac:dyDescent="0.2">
      <c r="B94" s="126">
        <f>IF(OR(B93="",B93='Loan Terms'!$H$9*12),"",B93+1)</f>
        <v>89</v>
      </c>
      <c r="C94" s="128">
        <f>IF(B94="","",IF('Loan Terms'!$H$15="30/360",30,D94-D93))</f>
        <v>30</v>
      </c>
      <c r="D94" s="129">
        <f t="shared" si="9"/>
        <v>47804</v>
      </c>
      <c r="E94" s="129" t="str">
        <f>IF(B94="","",IF(B94&lt;='Loan Terms'!$G$10,"Yes","No"))</f>
        <v>No</v>
      </c>
      <c r="F94" s="101">
        <f>IF(B94="","",IF('Loan Terms'!$C$13="Fixed",'Loan Terms'!$H$17,V94))</f>
        <v>6.5000000000000002E-2</v>
      </c>
      <c r="G94" s="12">
        <f t="shared" si="10"/>
        <v>5936044.4572897842</v>
      </c>
      <c r="H94" s="12">
        <f>IF(G94="","",IF('Loan Terms'!$C$13="Fixed",(E94="Yes")*J94+(E94="No")*'Loan Terms'!$H$19,PMT(F94/12,'Loan Terms'!$G$11-B94+1,-G94)))</f>
        <v>38571.025053902427</v>
      </c>
      <c r="I94" s="12">
        <f>IF(B94="","",IF(B94='Loan Terms'!$H$9*12,G94,H94-J94))</f>
        <v>6417.4509102494267</v>
      </c>
      <c r="J94" s="130">
        <f>IF(B94="","",IF('Loan Terms'!$H$15="Actual/365",F94*(C94/365),F94*(C94/360))*G94)</f>
        <v>32153.574143653001</v>
      </c>
      <c r="K94" s="12">
        <f t="shared" si="7"/>
        <v>5929627.0063795345</v>
      </c>
      <c r="L94" s="130">
        <f t="shared" si="11"/>
        <v>38571.025053902427</v>
      </c>
      <c r="N94" s="14">
        <f t="shared" si="12"/>
        <v>571153.13101219898</v>
      </c>
      <c r="S94" s="217">
        <f t="shared" si="8"/>
        <v>47804</v>
      </c>
      <c r="T94" s="218">
        <v>2.9700000000000001E-2</v>
      </c>
      <c r="U94" s="219">
        <f>IF(S94="","",'Loan Terms'!$H$14)</f>
        <v>225</v>
      </c>
      <c r="V94" s="220">
        <f t="shared" si="13"/>
        <v>5.2199999999999996E-2</v>
      </c>
    </row>
    <row r="95" spans="2:22" ht="14.25" customHeight="1" x14ac:dyDescent="0.2">
      <c r="B95" s="126">
        <f>IF(OR(B94="",B94='Loan Terms'!$H$9*12),"",B94+1)</f>
        <v>90</v>
      </c>
      <c r="C95" s="128">
        <f>IF(B95="","",IF('Loan Terms'!$H$15="30/360",30,D95-D94))</f>
        <v>30</v>
      </c>
      <c r="D95" s="129">
        <f t="shared" si="9"/>
        <v>47834</v>
      </c>
      <c r="E95" s="129" t="str">
        <f>IF(B95="","",IF(B95&lt;='Loan Terms'!$G$10,"Yes","No"))</f>
        <v>No</v>
      </c>
      <c r="F95" s="101">
        <f>IF(B95="","",IF('Loan Terms'!$C$13="Fixed",'Loan Terms'!$H$17,V95))</f>
        <v>6.5000000000000002E-2</v>
      </c>
      <c r="G95" s="12">
        <f t="shared" si="10"/>
        <v>5929627.0063795345</v>
      </c>
      <c r="H95" s="12">
        <f>IF(G95="","",IF('Loan Terms'!$C$13="Fixed",(E95="Yes")*J95+(E95="No")*'Loan Terms'!$H$19,PMT(F95/12,'Loan Terms'!$G$11-B95+1,-G95)))</f>
        <v>38571.025053902427</v>
      </c>
      <c r="I95" s="12">
        <f>IF(B95="","",IF(B95='Loan Terms'!$H$9*12,G95,H95-J95))</f>
        <v>6452.2121026799468</v>
      </c>
      <c r="J95" s="130">
        <f>IF(B95="","",IF('Loan Terms'!$H$15="Actual/365",F95*(C95/365),F95*(C95/360))*G95)</f>
        <v>32118.81295122248</v>
      </c>
      <c r="K95" s="12">
        <f t="shared" si="7"/>
        <v>5923174.794276855</v>
      </c>
      <c r="L95" s="130">
        <f t="shared" si="11"/>
        <v>38571.025053902427</v>
      </c>
      <c r="N95" s="14">
        <f t="shared" si="12"/>
        <v>580699.08924119524</v>
      </c>
      <c r="S95" s="217">
        <f t="shared" si="8"/>
        <v>47834</v>
      </c>
      <c r="T95" s="218">
        <v>2.9700000000000001E-2</v>
      </c>
      <c r="U95" s="219">
        <f>IF(S95="","",'Loan Terms'!$H$14)</f>
        <v>225</v>
      </c>
      <c r="V95" s="220">
        <f t="shared" si="13"/>
        <v>5.2199999999999996E-2</v>
      </c>
    </row>
    <row r="96" spans="2:22" ht="14.25" customHeight="1" x14ac:dyDescent="0.2">
      <c r="B96" s="126">
        <f>IF(OR(B95="",B95='Loan Terms'!$H$9*12),"",B95+1)</f>
        <v>91</v>
      </c>
      <c r="C96" s="128">
        <f>IF(B96="","",IF('Loan Terms'!$H$15="30/360",30,D96-D95))</f>
        <v>30</v>
      </c>
      <c r="D96" s="129">
        <f t="shared" si="9"/>
        <v>47865</v>
      </c>
      <c r="E96" s="129" t="str">
        <f>IF(B96="","",IF(B96&lt;='Loan Terms'!$G$10,"Yes","No"))</f>
        <v>No</v>
      </c>
      <c r="F96" s="101">
        <f>IF(B96="","",IF('Loan Terms'!$C$13="Fixed",'Loan Terms'!$H$17,V96))</f>
        <v>6.5000000000000002E-2</v>
      </c>
      <c r="G96" s="12">
        <f t="shared" si="10"/>
        <v>5923174.794276855</v>
      </c>
      <c r="H96" s="12">
        <f>IF(G96="","",IF('Loan Terms'!$C$13="Fixed",(E96="Yes")*J96+(E96="No")*'Loan Terms'!$H$19,PMT(F96/12,'Loan Terms'!$G$11-B96+1,-G96)))</f>
        <v>38571.025053902427</v>
      </c>
      <c r="I96" s="12">
        <f>IF(B96="","",IF(B96='Loan Terms'!$H$9*12,G96,H96-J96))</f>
        <v>6487.1615849027949</v>
      </c>
      <c r="J96" s="130">
        <f>IF(B96="","",IF('Loan Terms'!$H$15="Actual/365",F96*(C96/365),F96*(C96/360))*G96)</f>
        <v>32083.863468999632</v>
      </c>
      <c r="K96" s="12">
        <f t="shared" si="7"/>
        <v>5916687.6326919524</v>
      </c>
      <c r="L96" s="130">
        <f t="shared" si="11"/>
        <v>38571.025053902427</v>
      </c>
      <c r="N96" s="14">
        <f t="shared" si="12"/>
        <v>590331.70422615437</v>
      </c>
      <c r="S96" s="217">
        <f t="shared" si="8"/>
        <v>47865</v>
      </c>
      <c r="T96" s="218">
        <v>2.98E-2</v>
      </c>
      <c r="U96" s="219">
        <f>IF(S96="","",'Loan Terms'!$H$14)</f>
        <v>225</v>
      </c>
      <c r="V96" s="220">
        <f t="shared" si="13"/>
        <v>5.2299999999999999E-2</v>
      </c>
    </row>
    <row r="97" spans="2:22" ht="14.25" customHeight="1" x14ac:dyDescent="0.2">
      <c r="B97" s="126">
        <f>IF(OR(B96="",B96='Loan Terms'!$H$9*12),"",B96+1)</f>
        <v>92</v>
      </c>
      <c r="C97" s="128">
        <f>IF(B97="","",IF('Loan Terms'!$H$15="30/360",30,D97-D96))</f>
        <v>30</v>
      </c>
      <c r="D97" s="129">
        <f t="shared" si="9"/>
        <v>47896</v>
      </c>
      <c r="E97" s="129" t="str">
        <f>IF(B97="","",IF(B97&lt;='Loan Terms'!$G$10,"Yes","No"))</f>
        <v>No</v>
      </c>
      <c r="F97" s="101">
        <f>IF(B97="","",IF('Loan Terms'!$C$13="Fixed",'Loan Terms'!$H$17,V97))</f>
        <v>6.5000000000000002E-2</v>
      </c>
      <c r="G97" s="12">
        <f t="shared" si="10"/>
        <v>5916687.6326919524</v>
      </c>
      <c r="H97" s="12">
        <f>IF(G97="","",IF('Loan Terms'!$C$13="Fixed",(E97="Yes")*J97+(E97="No")*'Loan Terms'!$H$19,PMT(F97/12,'Loan Terms'!$G$11-B97+1,-G97)))</f>
        <v>38571.025053902427</v>
      </c>
      <c r="I97" s="12">
        <f>IF(B97="","",IF(B97='Loan Terms'!$H$9*12,G97,H97-J97))</f>
        <v>6522.3003768210183</v>
      </c>
      <c r="J97" s="130">
        <f>IF(B97="","",IF('Loan Terms'!$H$15="Actual/365",F97*(C97/365),F97*(C97/360))*G97)</f>
        <v>32048.724677081409</v>
      </c>
      <c r="K97" s="12">
        <f t="shared" si="7"/>
        <v>5910165.3323151311</v>
      </c>
      <c r="L97" s="130">
        <f t="shared" si="11"/>
        <v>38571.025053902427</v>
      </c>
      <c r="N97" s="14">
        <f t="shared" si="12"/>
        <v>600051.63466753368</v>
      </c>
      <c r="S97" s="217">
        <f t="shared" si="8"/>
        <v>47896</v>
      </c>
      <c r="T97" s="218">
        <v>2.98E-2</v>
      </c>
      <c r="U97" s="219">
        <f>IF(S97="","",'Loan Terms'!$H$14)</f>
        <v>225</v>
      </c>
      <c r="V97" s="220">
        <f t="shared" si="13"/>
        <v>5.2299999999999999E-2</v>
      </c>
    </row>
    <row r="98" spans="2:22" ht="14.25" customHeight="1" x14ac:dyDescent="0.2">
      <c r="B98" s="126">
        <f>IF(OR(B97="",B97='Loan Terms'!$H$9*12),"",B97+1)</f>
        <v>93</v>
      </c>
      <c r="C98" s="128">
        <f>IF(B98="","",IF('Loan Terms'!$H$15="30/360",30,D98-D97))</f>
        <v>30</v>
      </c>
      <c r="D98" s="129">
        <f t="shared" si="9"/>
        <v>47924</v>
      </c>
      <c r="E98" s="129" t="str">
        <f>IF(B98="","",IF(B98&lt;='Loan Terms'!$G$10,"Yes","No"))</f>
        <v>No</v>
      </c>
      <c r="F98" s="101">
        <f>IF(B98="","",IF('Loan Terms'!$C$13="Fixed",'Loan Terms'!$H$17,V98))</f>
        <v>6.5000000000000002E-2</v>
      </c>
      <c r="G98" s="12">
        <f t="shared" si="10"/>
        <v>5910165.3323151311</v>
      </c>
      <c r="H98" s="12">
        <f>IF(G98="","",IF('Loan Terms'!$C$13="Fixed",(E98="Yes")*J98+(E98="No")*'Loan Terms'!$H$19,PMT(F98/12,'Loan Terms'!$G$11-B98+1,-G98)))</f>
        <v>38571.025053902427</v>
      </c>
      <c r="I98" s="12">
        <f>IF(B98="","",IF(B98='Loan Terms'!$H$9*12,G98,H98-J98))</f>
        <v>6557.629503862132</v>
      </c>
      <c r="J98" s="130">
        <f>IF(B98="","",IF('Loan Terms'!$H$15="Actual/365",F98*(C98/365),F98*(C98/360))*G98)</f>
        <v>32013.395550040295</v>
      </c>
      <c r="K98" s="12">
        <f t="shared" si="7"/>
        <v>5903607.7028112691</v>
      </c>
      <c r="L98" s="130">
        <f t="shared" si="11"/>
        <v>38571.025053902427</v>
      </c>
      <c r="N98" s="14">
        <f t="shared" si="12"/>
        <v>609859.54385917832</v>
      </c>
      <c r="S98" s="217">
        <f t="shared" si="8"/>
        <v>47924</v>
      </c>
      <c r="T98" s="218">
        <v>2.98E-2</v>
      </c>
      <c r="U98" s="219">
        <f>IF(S98="","",'Loan Terms'!$H$14)</f>
        <v>225</v>
      </c>
      <c r="V98" s="220">
        <f t="shared" si="13"/>
        <v>5.2299999999999999E-2</v>
      </c>
    </row>
    <row r="99" spans="2:22" ht="14.25" customHeight="1" x14ac:dyDescent="0.2">
      <c r="B99" s="126">
        <f>IF(OR(B98="",B98='Loan Terms'!$H$9*12),"",B98+1)</f>
        <v>94</v>
      </c>
      <c r="C99" s="128">
        <f>IF(B99="","",IF('Loan Terms'!$H$15="30/360",30,D99-D98))</f>
        <v>30</v>
      </c>
      <c r="D99" s="129">
        <f t="shared" si="9"/>
        <v>47955</v>
      </c>
      <c r="E99" s="129" t="str">
        <f>IF(B99="","",IF(B99&lt;='Loan Terms'!$G$10,"Yes","No"))</f>
        <v>No</v>
      </c>
      <c r="F99" s="101">
        <f>IF(B99="","",IF('Loan Terms'!$C$13="Fixed",'Loan Terms'!$H$17,V99))</f>
        <v>6.5000000000000002E-2</v>
      </c>
      <c r="G99" s="12">
        <f t="shared" si="10"/>
        <v>5903607.7028112691</v>
      </c>
      <c r="H99" s="12">
        <f>IF(G99="","",IF('Loan Terms'!$C$13="Fixed",(E99="Yes")*J99+(E99="No")*'Loan Terms'!$H$19,PMT(F99/12,'Loan Terms'!$G$11-B99+1,-G99)))</f>
        <v>38571.025053902427</v>
      </c>
      <c r="I99" s="12">
        <f>IF(B99="","",IF(B99='Loan Terms'!$H$9*12,G99,H99-J99))</f>
        <v>6593.1499970080513</v>
      </c>
      <c r="J99" s="130">
        <f>IF(B99="","",IF('Loan Terms'!$H$15="Actual/365",F99*(C99/365),F99*(C99/360))*G99)</f>
        <v>31977.875056894376</v>
      </c>
      <c r="K99" s="12">
        <f t="shared" si="7"/>
        <v>5897014.5528142611</v>
      </c>
      <c r="L99" s="130">
        <f t="shared" si="11"/>
        <v>38571.025053902427</v>
      </c>
      <c r="N99" s="14">
        <f t="shared" si="12"/>
        <v>619756.09971875686</v>
      </c>
      <c r="S99" s="217">
        <f t="shared" si="8"/>
        <v>47955</v>
      </c>
      <c r="T99" s="218">
        <v>2.9899999999999999E-2</v>
      </c>
      <c r="U99" s="219">
        <f>IF(S99="","",'Loan Terms'!$H$14)</f>
        <v>225</v>
      </c>
      <c r="V99" s="220">
        <f t="shared" si="13"/>
        <v>5.2400000000000002E-2</v>
      </c>
    </row>
    <row r="100" spans="2:22" ht="14.25" customHeight="1" x14ac:dyDescent="0.2">
      <c r="B100" s="126">
        <f>IF(OR(B99="",B99='Loan Terms'!$H$9*12),"",B99+1)</f>
        <v>95</v>
      </c>
      <c r="C100" s="128">
        <f>IF(B100="","",IF('Loan Terms'!$H$15="30/360",30,D100-D99))</f>
        <v>30</v>
      </c>
      <c r="D100" s="129">
        <f t="shared" si="9"/>
        <v>47985</v>
      </c>
      <c r="E100" s="129" t="str">
        <f>IF(B100="","",IF(B100&lt;='Loan Terms'!$G$10,"Yes","No"))</f>
        <v>No</v>
      </c>
      <c r="F100" s="101">
        <f>IF(B100="","",IF('Loan Terms'!$C$13="Fixed",'Loan Terms'!$H$17,V100))</f>
        <v>6.5000000000000002E-2</v>
      </c>
      <c r="G100" s="12">
        <f t="shared" si="10"/>
        <v>5897014.5528142611</v>
      </c>
      <c r="H100" s="12">
        <f>IF(G100="","",IF('Loan Terms'!$C$13="Fixed",(E100="Yes")*J100+(E100="No")*'Loan Terms'!$H$19,PMT(F100/12,'Loan Terms'!$G$11-B100+1,-G100)))</f>
        <v>38571.025053902427</v>
      </c>
      <c r="I100" s="12">
        <f>IF(B100="","",IF(B100='Loan Terms'!$H$9*12,G100,H100-J100))</f>
        <v>6628.8628928251783</v>
      </c>
      <c r="J100" s="130">
        <f>IF(B100="","",IF('Loan Terms'!$H$15="Actual/365",F100*(C100/365),F100*(C100/360))*G100)</f>
        <v>31942.162161077249</v>
      </c>
      <c r="K100" s="12">
        <f t="shared" si="7"/>
        <v>5890385.6899214359</v>
      </c>
      <c r="L100" s="130">
        <f t="shared" si="11"/>
        <v>38571.025053902427</v>
      </c>
      <c r="N100" s="14">
        <f t="shared" si="12"/>
        <v>629741.97481839196</v>
      </c>
      <c r="S100" s="217">
        <f t="shared" si="8"/>
        <v>47985</v>
      </c>
      <c r="T100" s="218">
        <v>2.9899999999999999E-2</v>
      </c>
      <c r="U100" s="219">
        <f>IF(S100="","",'Loan Terms'!$H$14)</f>
        <v>225</v>
      </c>
      <c r="V100" s="220">
        <f t="shared" si="13"/>
        <v>5.2400000000000002E-2</v>
      </c>
    </row>
    <row r="101" spans="2:22" ht="14.25" customHeight="1" x14ac:dyDescent="0.2">
      <c r="B101" s="126">
        <f>IF(OR(B100="",B100='Loan Terms'!$H$9*12),"",B100+1)</f>
        <v>96</v>
      </c>
      <c r="C101" s="128">
        <f>IF(B101="","",IF('Loan Terms'!$H$15="30/360",30,D101-D100))</f>
        <v>30</v>
      </c>
      <c r="D101" s="129">
        <f t="shared" si="9"/>
        <v>48016</v>
      </c>
      <c r="E101" s="129" t="str">
        <f>IF(B101="","",IF(B101&lt;='Loan Terms'!$G$10,"Yes","No"))</f>
        <v>No</v>
      </c>
      <c r="F101" s="101">
        <f>IF(B101="","",IF('Loan Terms'!$C$13="Fixed",'Loan Terms'!$H$17,V101))</f>
        <v>6.5000000000000002E-2</v>
      </c>
      <c r="G101" s="12">
        <f t="shared" si="10"/>
        <v>5890385.6899214359</v>
      </c>
      <c r="H101" s="12">
        <f>IF(G101="","",IF('Loan Terms'!$C$13="Fixed",(E101="Yes")*J101+(E101="No")*'Loan Terms'!$H$19,PMT(F101/12,'Loan Terms'!$G$11-B101+1,-G101)))</f>
        <v>38571.025053902427</v>
      </c>
      <c r="I101" s="12">
        <f>IF(B101="","",IF(B101='Loan Terms'!$H$9*12,G101,H101-J101))</f>
        <v>6664.7692334946478</v>
      </c>
      <c r="J101" s="130">
        <f>IF(B101="","",IF('Loan Terms'!$H$15="Actual/365",F101*(C101/365),F101*(C101/360))*G101)</f>
        <v>31906.25582040778</v>
      </c>
      <c r="K101" s="12">
        <f t="shared" si="7"/>
        <v>5883720.9206879409</v>
      </c>
      <c r="L101" s="130">
        <f t="shared" si="11"/>
        <v>38571.025053902427</v>
      </c>
      <c r="N101" s="14">
        <f t="shared" si="12"/>
        <v>639817.84641548619</v>
      </c>
      <c r="S101" s="217">
        <f t="shared" si="8"/>
        <v>48016</v>
      </c>
      <c r="T101" s="218">
        <v>2.9899999999999999E-2</v>
      </c>
      <c r="U101" s="219">
        <f>IF(S101="","",'Loan Terms'!$H$14)</f>
        <v>225</v>
      </c>
      <c r="V101" s="220">
        <f t="shared" si="13"/>
        <v>5.2400000000000002E-2</v>
      </c>
    </row>
    <row r="102" spans="2:22" ht="14.25" customHeight="1" x14ac:dyDescent="0.2">
      <c r="B102" s="126">
        <f>IF(OR(B101="",B101='Loan Terms'!$H$9*12),"",B101+1)</f>
        <v>97</v>
      </c>
      <c r="C102" s="128">
        <f>IF(B102="","",IF('Loan Terms'!$H$15="30/360",30,D102-D101))</f>
        <v>30</v>
      </c>
      <c r="D102" s="129">
        <f t="shared" si="9"/>
        <v>48046</v>
      </c>
      <c r="E102" s="129" t="str">
        <f>IF(B102="","",IF(B102&lt;='Loan Terms'!$G$10,"Yes","No"))</f>
        <v>No</v>
      </c>
      <c r="F102" s="101">
        <f>IF(B102="","",IF('Loan Terms'!$C$13="Fixed",'Loan Terms'!$H$17,V102))</f>
        <v>6.5000000000000002E-2</v>
      </c>
      <c r="G102" s="12">
        <f t="shared" si="10"/>
        <v>5883720.9206879409</v>
      </c>
      <c r="H102" s="12">
        <f>IF(G102="","",IF('Loan Terms'!$C$13="Fixed",(E102="Yes")*J102+(E102="No")*'Loan Terms'!$H$19,PMT(F102/12,'Loan Terms'!$G$11-B102+1,-G102)))</f>
        <v>38571.025053902427</v>
      </c>
      <c r="I102" s="12">
        <f>IF(B102="","",IF(B102='Loan Terms'!$H$9*12,G102,H102-J102))</f>
        <v>6700.8700668427446</v>
      </c>
      <c r="J102" s="130">
        <f>IF(B102="","",IF('Loan Terms'!$H$15="Actual/365",F102*(C102/365),F102*(C102/360))*G102)</f>
        <v>31870.154987059683</v>
      </c>
      <c r="K102" s="12">
        <f t="shared" si="7"/>
        <v>5877020.0506210979</v>
      </c>
      <c r="L102" s="130">
        <f t="shared" si="11"/>
        <v>38571.025053902427</v>
      </c>
      <c r="N102" s="14">
        <f t="shared" si="12"/>
        <v>649984.39648374624</v>
      </c>
      <c r="S102" s="217">
        <f t="shared" si="8"/>
        <v>48046</v>
      </c>
      <c r="T102" s="218">
        <v>0.03</v>
      </c>
      <c r="U102" s="219">
        <f>IF(S102="","",'Loan Terms'!$H$14)</f>
        <v>225</v>
      </c>
      <c r="V102" s="220">
        <f t="shared" si="13"/>
        <v>5.2499999999999998E-2</v>
      </c>
    </row>
    <row r="103" spans="2:22" ht="14.25" customHeight="1" x14ac:dyDescent="0.2">
      <c r="B103" s="126">
        <f>IF(OR(B102="",B102='Loan Terms'!$H$9*12),"",B102+1)</f>
        <v>98</v>
      </c>
      <c r="C103" s="128">
        <f>IF(B103="","",IF('Loan Terms'!$H$15="30/360",30,D103-D102))</f>
        <v>30</v>
      </c>
      <c r="D103" s="129">
        <f t="shared" si="9"/>
        <v>48077</v>
      </c>
      <c r="E103" s="129" t="str">
        <f>IF(B103="","",IF(B103&lt;='Loan Terms'!$G$10,"Yes","No"))</f>
        <v>No</v>
      </c>
      <c r="F103" s="101">
        <f>IF(B103="","",IF('Loan Terms'!$C$13="Fixed",'Loan Terms'!$H$17,V103))</f>
        <v>6.5000000000000002E-2</v>
      </c>
      <c r="G103" s="12">
        <f t="shared" si="10"/>
        <v>5877020.0506210979</v>
      </c>
      <c r="H103" s="12">
        <f>IF(G103="","",IF('Loan Terms'!$C$13="Fixed",(E103="Yes")*J103+(E103="No")*'Loan Terms'!$H$19,PMT(F103/12,'Loan Terms'!$G$11-B103+1,-G103)))</f>
        <v>38571.025053902427</v>
      </c>
      <c r="I103" s="12">
        <f>IF(B103="","",IF(B103='Loan Terms'!$H$9*12,G103,H103-J103))</f>
        <v>6737.1664463714806</v>
      </c>
      <c r="J103" s="130">
        <f>IF(B103="","",IF('Loan Terms'!$H$15="Actual/365",F103*(C103/365),F103*(C103/360))*G103)</f>
        <v>31833.858607530947</v>
      </c>
      <c r="K103" s="12">
        <f t="shared" si="7"/>
        <v>5870282.884174726</v>
      </c>
      <c r="L103" s="130">
        <f t="shared" si="11"/>
        <v>38571.025053902427</v>
      </c>
      <c r="N103" s="14">
        <f t="shared" si="12"/>
        <v>660242.31174440507</v>
      </c>
      <c r="S103" s="217">
        <f t="shared" si="8"/>
        <v>48077</v>
      </c>
      <c r="T103" s="218">
        <v>0.03</v>
      </c>
      <c r="U103" s="219">
        <f>IF(S103="","",'Loan Terms'!$H$14)</f>
        <v>225</v>
      </c>
      <c r="V103" s="220">
        <f t="shared" si="13"/>
        <v>5.2499999999999998E-2</v>
      </c>
    </row>
    <row r="104" spans="2:22" ht="14.25" customHeight="1" x14ac:dyDescent="0.2">
      <c r="B104" s="126">
        <f>IF(OR(B103="",B103='Loan Terms'!$H$9*12),"",B103+1)</f>
        <v>99</v>
      </c>
      <c r="C104" s="128">
        <f>IF(B104="","",IF('Loan Terms'!$H$15="30/360",30,D104-D103))</f>
        <v>30</v>
      </c>
      <c r="D104" s="129">
        <f t="shared" si="9"/>
        <v>48108</v>
      </c>
      <c r="E104" s="129" t="str">
        <f>IF(B104="","",IF(B104&lt;='Loan Terms'!$G$10,"Yes","No"))</f>
        <v>No</v>
      </c>
      <c r="F104" s="101">
        <f>IF(B104="","",IF('Loan Terms'!$C$13="Fixed",'Loan Terms'!$H$17,V104))</f>
        <v>6.5000000000000002E-2</v>
      </c>
      <c r="G104" s="12">
        <f t="shared" si="10"/>
        <v>5870282.884174726</v>
      </c>
      <c r="H104" s="12">
        <f>IF(G104="","",IF('Loan Terms'!$C$13="Fixed",(E104="Yes")*J104+(E104="No")*'Loan Terms'!$H$19,PMT(F104/12,'Loan Terms'!$G$11-B104+1,-G104)))</f>
        <v>38571.025053902427</v>
      </c>
      <c r="I104" s="12">
        <f>IF(B104="","",IF(B104='Loan Terms'!$H$9*12,G104,H104-J104))</f>
        <v>6773.6594312893285</v>
      </c>
      <c r="J104" s="130">
        <f>IF(B104="","",IF('Loan Terms'!$H$15="Actual/365",F104*(C104/365),F104*(C104/360))*G104)</f>
        <v>31797.365622613099</v>
      </c>
      <c r="K104" s="12">
        <f t="shared" si="7"/>
        <v>5863509.224743437</v>
      </c>
      <c r="L104" s="130">
        <f t="shared" si="11"/>
        <v>38571.025053902427</v>
      </c>
      <c r="N104" s="14">
        <f t="shared" si="12"/>
        <v>670592.28369764355</v>
      </c>
      <c r="S104" s="217">
        <f t="shared" si="8"/>
        <v>48108</v>
      </c>
      <c r="T104" s="218">
        <v>0.03</v>
      </c>
      <c r="U104" s="219">
        <f>IF(S104="","",'Loan Terms'!$H$14)</f>
        <v>225</v>
      </c>
      <c r="V104" s="220">
        <f t="shared" si="13"/>
        <v>5.2499999999999998E-2</v>
      </c>
    </row>
    <row r="105" spans="2:22" ht="14.25" customHeight="1" x14ac:dyDescent="0.2">
      <c r="B105" s="126">
        <f>IF(OR(B104="",B104='Loan Terms'!$H$9*12),"",B104+1)</f>
        <v>100</v>
      </c>
      <c r="C105" s="128">
        <f>IF(B105="","",IF('Loan Terms'!$H$15="30/360",30,D105-D104))</f>
        <v>30</v>
      </c>
      <c r="D105" s="129">
        <f t="shared" si="9"/>
        <v>48138</v>
      </c>
      <c r="E105" s="129" t="str">
        <f>IF(B105="","",IF(B105&lt;='Loan Terms'!$G$10,"Yes","No"))</f>
        <v>No</v>
      </c>
      <c r="F105" s="101">
        <f>IF(B105="","",IF('Loan Terms'!$C$13="Fixed",'Loan Terms'!$H$17,V105))</f>
        <v>6.5000000000000002E-2</v>
      </c>
      <c r="G105" s="12">
        <f t="shared" si="10"/>
        <v>5863509.224743437</v>
      </c>
      <c r="H105" s="12">
        <f>IF(G105="","",IF('Loan Terms'!$C$13="Fixed",(E105="Yes")*J105+(E105="No")*'Loan Terms'!$H$19,PMT(F105/12,'Loan Terms'!$G$11-B105+1,-G105)))</f>
        <v>38571.025053902427</v>
      </c>
      <c r="I105" s="12">
        <f>IF(B105="","",IF(B105='Loan Terms'!$H$9*12,G105,H105-J105))</f>
        <v>6810.3500865421411</v>
      </c>
      <c r="J105" s="130">
        <f>IF(B105="","",IF('Loan Terms'!$H$15="Actual/365",F105*(C105/365),F105*(C105/360))*G105)</f>
        <v>31760.674967360286</v>
      </c>
      <c r="K105" s="12">
        <f t="shared" si="7"/>
        <v>5856698.8746568952</v>
      </c>
      <c r="L105" s="130">
        <f t="shared" si="11"/>
        <v>38571.025053902427</v>
      </c>
      <c r="N105" s="14">
        <f t="shared" si="12"/>
        <v>681035.00865421409</v>
      </c>
      <c r="S105" s="217">
        <f t="shared" si="8"/>
        <v>48138</v>
      </c>
      <c r="T105" s="218">
        <v>3.0099999999999998E-2</v>
      </c>
      <c r="U105" s="219">
        <f>IF(S105="","",'Loan Terms'!$H$14)</f>
        <v>225</v>
      </c>
      <c r="V105" s="220">
        <f t="shared" si="13"/>
        <v>5.2599999999999994E-2</v>
      </c>
    </row>
    <row r="106" spans="2:22" ht="14.25" customHeight="1" x14ac:dyDescent="0.2">
      <c r="B106" s="126">
        <f>IF(OR(B105="",B105='Loan Terms'!$H$9*12),"",B105+1)</f>
        <v>101</v>
      </c>
      <c r="C106" s="128">
        <f>IF(B106="","",IF('Loan Terms'!$H$15="30/360",30,D106-D105))</f>
        <v>30</v>
      </c>
      <c r="D106" s="129">
        <f t="shared" si="9"/>
        <v>48169</v>
      </c>
      <c r="E106" s="129" t="str">
        <f>IF(B106="","",IF(B106&lt;='Loan Terms'!$G$10,"Yes","No"))</f>
        <v>No</v>
      </c>
      <c r="F106" s="101">
        <f>IF(B106="","",IF('Loan Terms'!$C$13="Fixed",'Loan Terms'!$H$17,V106))</f>
        <v>6.5000000000000002E-2</v>
      </c>
      <c r="G106" s="12">
        <f t="shared" si="10"/>
        <v>5856698.8746568952</v>
      </c>
      <c r="H106" s="12">
        <f>IF(G106="","",IF('Loan Terms'!$C$13="Fixed",(E106="Yes")*J106+(E106="No")*'Loan Terms'!$H$19,PMT(F106/12,'Loan Terms'!$G$11-B106+1,-G106)))</f>
        <v>38571.025053902427</v>
      </c>
      <c r="I106" s="12">
        <f>IF(B106="","",IF(B106='Loan Terms'!$H$9*12,G106,H106-J106))</f>
        <v>6847.2394828442448</v>
      </c>
      <c r="J106" s="130">
        <f>IF(B106="","",IF('Loan Terms'!$H$15="Actual/365",F106*(C106/365),F106*(C106/360))*G106)</f>
        <v>31723.785571058183</v>
      </c>
      <c r="K106" s="12">
        <f t="shared" si="7"/>
        <v>5849851.6351740509</v>
      </c>
      <c r="L106" s="130">
        <f t="shared" si="11"/>
        <v>38571.025053902427</v>
      </c>
      <c r="N106" s="14">
        <f t="shared" si="12"/>
        <v>691571.18776726874</v>
      </c>
      <c r="S106" s="217">
        <f t="shared" si="8"/>
        <v>48169</v>
      </c>
      <c r="T106" s="218">
        <v>3.0099999999999998E-2</v>
      </c>
      <c r="U106" s="219">
        <f>IF(S106="","",'Loan Terms'!$H$14)</f>
        <v>225</v>
      </c>
      <c r="V106" s="220">
        <f t="shared" si="13"/>
        <v>5.2599999999999994E-2</v>
      </c>
    </row>
    <row r="107" spans="2:22" ht="14.25" customHeight="1" x14ac:dyDescent="0.2">
      <c r="B107" s="126">
        <f>IF(OR(B106="",B106='Loan Terms'!$H$9*12),"",B106+1)</f>
        <v>102</v>
      </c>
      <c r="C107" s="128">
        <f>IF(B107="","",IF('Loan Terms'!$H$15="30/360",30,D107-D106))</f>
        <v>30</v>
      </c>
      <c r="D107" s="129">
        <f t="shared" si="9"/>
        <v>48199</v>
      </c>
      <c r="E107" s="129" t="str">
        <f>IF(B107="","",IF(B107&lt;='Loan Terms'!$G$10,"Yes","No"))</f>
        <v>No</v>
      </c>
      <c r="F107" s="101">
        <f>IF(B107="","",IF('Loan Terms'!$C$13="Fixed",'Loan Terms'!$H$17,V107))</f>
        <v>6.5000000000000002E-2</v>
      </c>
      <c r="G107" s="12">
        <f t="shared" si="10"/>
        <v>5849851.6351740509</v>
      </c>
      <c r="H107" s="12">
        <f>IF(G107="","",IF('Loan Terms'!$C$13="Fixed",(E107="Yes")*J107+(E107="No")*'Loan Terms'!$H$19,PMT(F107/12,'Loan Terms'!$G$11-B107+1,-G107)))</f>
        <v>38571.025053902427</v>
      </c>
      <c r="I107" s="12">
        <f>IF(B107="","",IF(B107='Loan Terms'!$H$9*12,G107,H107-J107))</f>
        <v>6884.3286967096501</v>
      </c>
      <c r="J107" s="130">
        <f>IF(B107="","",IF('Loan Terms'!$H$15="Actual/365",F107*(C107/365),F107*(C107/360))*G107)</f>
        <v>31686.696357192777</v>
      </c>
      <c r="K107" s="12">
        <f t="shared" si="7"/>
        <v>5842967.3064773409</v>
      </c>
      <c r="L107" s="130">
        <f t="shared" si="11"/>
        <v>38571.025053902427</v>
      </c>
      <c r="N107" s="14">
        <f t="shared" si="12"/>
        <v>702201.52706438431</v>
      </c>
      <c r="S107" s="217">
        <f t="shared" si="8"/>
        <v>48199</v>
      </c>
      <c r="T107" s="218">
        <v>3.0099999999999998E-2</v>
      </c>
      <c r="U107" s="219">
        <f>IF(S107="","",'Loan Terms'!$H$14)</f>
        <v>225</v>
      </c>
      <c r="V107" s="220">
        <f t="shared" si="13"/>
        <v>5.2599999999999994E-2</v>
      </c>
    </row>
    <row r="108" spans="2:22" ht="14.25" customHeight="1" x14ac:dyDescent="0.2">
      <c r="B108" s="126">
        <f>IF(OR(B107="",B107='Loan Terms'!$H$9*12),"",B107+1)</f>
        <v>103</v>
      </c>
      <c r="C108" s="128">
        <f>IF(B108="","",IF('Loan Terms'!$H$15="30/360",30,D108-D107))</f>
        <v>30</v>
      </c>
      <c r="D108" s="129">
        <f t="shared" si="9"/>
        <v>48230</v>
      </c>
      <c r="E108" s="129" t="str">
        <f>IF(B108="","",IF(B108&lt;='Loan Terms'!$G$10,"Yes","No"))</f>
        <v>No</v>
      </c>
      <c r="F108" s="101">
        <f>IF(B108="","",IF('Loan Terms'!$C$13="Fixed",'Loan Terms'!$H$17,V108))</f>
        <v>6.5000000000000002E-2</v>
      </c>
      <c r="G108" s="12">
        <f t="shared" si="10"/>
        <v>5842967.3064773409</v>
      </c>
      <c r="H108" s="12">
        <f>IF(G108="","",IF('Loan Terms'!$C$13="Fixed",(E108="Yes")*J108+(E108="No")*'Loan Terms'!$H$19,PMT(F108/12,'Loan Terms'!$G$11-B108+1,-G108)))</f>
        <v>38571.025053902427</v>
      </c>
      <c r="I108" s="12">
        <f>IF(B108="","",IF(B108='Loan Terms'!$H$9*12,G108,H108-J108))</f>
        <v>6921.6188104834982</v>
      </c>
      <c r="J108" s="130">
        <f>IF(B108="","",IF('Loan Terms'!$H$15="Actual/365",F108*(C108/365),F108*(C108/360))*G108)</f>
        <v>31649.406243418929</v>
      </c>
      <c r="K108" s="12">
        <f t="shared" si="7"/>
        <v>5836045.6876668576</v>
      </c>
      <c r="L108" s="130">
        <f t="shared" si="11"/>
        <v>38571.025053902427</v>
      </c>
      <c r="N108" s="14">
        <f t="shared" si="12"/>
        <v>712926.73747980036</v>
      </c>
      <c r="S108" s="217">
        <f t="shared" si="8"/>
        <v>48230</v>
      </c>
      <c r="T108" s="218">
        <v>3.0200000000000001E-2</v>
      </c>
      <c r="U108" s="219">
        <f>IF(S108="","",'Loan Terms'!$H$14)</f>
        <v>225</v>
      </c>
      <c r="V108" s="220">
        <f t="shared" si="13"/>
        <v>5.2699999999999997E-2</v>
      </c>
    </row>
    <row r="109" spans="2:22" ht="14.25" customHeight="1" x14ac:dyDescent="0.2">
      <c r="B109" s="126">
        <f>IF(OR(B108="",B108='Loan Terms'!$H$9*12),"",B108+1)</f>
        <v>104</v>
      </c>
      <c r="C109" s="128">
        <f>IF(B109="","",IF('Loan Terms'!$H$15="30/360",30,D109-D108))</f>
        <v>30</v>
      </c>
      <c r="D109" s="129">
        <f t="shared" si="9"/>
        <v>48261</v>
      </c>
      <c r="E109" s="129" t="str">
        <f>IF(B109="","",IF(B109&lt;='Loan Terms'!$G$10,"Yes","No"))</f>
        <v>No</v>
      </c>
      <c r="F109" s="101">
        <f>IF(B109="","",IF('Loan Terms'!$C$13="Fixed",'Loan Terms'!$H$17,V109))</f>
        <v>6.5000000000000002E-2</v>
      </c>
      <c r="G109" s="12">
        <f t="shared" si="10"/>
        <v>5836045.6876668576</v>
      </c>
      <c r="H109" s="12">
        <f>IF(G109="","",IF('Loan Terms'!$C$13="Fixed",(E109="Yes")*J109+(E109="No")*'Loan Terms'!$H$19,PMT(F109/12,'Loan Terms'!$G$11-B109+1,-G109)))</f>
        <v>38571.025053902427</v>
      </c>
      <c r="I109" s="12">
        <f>IF(B109="","",IF(B109='Loan Terms'!$H$9*12,G109,H109-J109))</f>
        <v>6959.1109123736132</v>
      </c>
      <c r="J109" s="130">
        <f>IF(B109="","",IF('Loan Terms'!$H$15="Actual/365",F109*(C109/365),F109*(C109/360))*G109)</f>
        <v>31611.914141528814</v>
      </c>
      <c r="K109" s="12">
        <f t="shared" si="7"/>
        <v>5829086.5767544843</v>
      </c>
      <c r="L109" s="130">
        <f t="shared" si="11"/>
        <v>38571.025053902427</v>
      </c>
      <c r="N109" s="14">
        <f t="shared" si="12"/>
        <v>723747.53488685575</v>
      </c>
      <c r="S109" s="217">
        <f t="shared" si="8"/>
        <v>48261</v>
      </c>
      <c r="T109" s="218">
        <v>3.0200000000000001E-2</v>
      </c>
      <c r="U109" s="219">
        <f>IF(S109="","",'Loan Terms'!$H$14)</f>
        <v>225</v>
      </c>
      <c r="V109" s="220">
        <f t="shared" si="13"/>
        <v>5.2699999999999997E-2</v>
      </c>
    </row>
    <row r="110" spans="2:22" ht="14.25" customHeight="1" x14ac:dyDescent="0.2">
      <c r="B110" s="126">
        <f>IF(OR(B109="",B109='Loan Terms'!$H$9*12),"",B109+1)</f>
        <v>105</v>
      </c>
      <c r="C110" s="128">
        <f>IF(B110="","",IF('Loan Terms'!$H$15="30/360",30,D110-D109))</f>
        <v>30</v>
      </c>
      <c r="D110" s="129">
        <f t="shared" si="9"/>
        <v>48290</v>
      </c>
      <c r="E110" s="129" t="str">
        <f>IF(B110="","",IF(B110&lt;='Loan Terms'!$G$10,"Yes","No"))</f>
        <v>No</v>
      </c>
      <c r="F110" s="101">
        <f>IF(B110="","",IF('Loan Terms'!$C$13="Fixed",'Loan Terms'!$H$17,V110))</f>
        <v>6.5000000000000002E-2</v>
      </c>
      <c r="G110" s="12">
        <f t="shared" si="10"/>
        <v>5829086.5767544843</v>
      </c>
      <c r="H110" s="12">
        <f>IF(G110="","",IF('Loan Terms'!$C$13="Fixed",(E110="Yes")*J110+(E110="No")*'Loan Terms'!$H$19,PMT(F110/12,'Loan Terms'!$G$11-B110+1,-G110)))</f>
        <v>38571.025053902427</v>
      </c>
      <c r="I110" s="12">
        <f>IF(B110="","",IF(B110='Loan Terms'!$H$9*12,G110,H110-J110))</f>
        <v>6996.8060964823017</v>
      </c>
      <c r="J110" s="130">
        <f>IF(B110="","",IF('Loan Terms'!$H$15="Actual/365",F110*(C110/365),F110*(C110/360))*G110)</f>
        <v>31574.218957420126</v>
      </c>
      <c r="K110" s="12">
        <f t="shared" si="7"/>
        <v>5822089.7706580022</v>
      </c>
      <c r="L110" s="130">
        <f t="shared" si="11"/>
        <v>38571.025053902427</v>
      </c>
      <c r="N110" s="14">
        <f t="shared" si="12"/>
        <v>734664.64013064164</v>
      </c>
      <c r="S110" s="217">
        <f t="shared" si="8"/>
        <v>48290</v>
      </c>
      <c r="T110" s="218">
        <v>3.0200000000000001E-2</v>
      </c>
      <c r="U110" s="219">
        <f>IF(S110="","",'Loan Terms'!$H$14)</f>
        <v>225</v>
      </c>
      <c r="V110" s="220">
        <f t="shared" si="13"/>
        <v>5.2699999999999997E-2</v>
      </c>
    </row>
    <row r="111" spans="2:22" ht="14.25" customHeight="1" x14ac:dyDescent="0.2">
      <c r="B111" s="126">
        <f>IF(OR(B110="",B110='Loan Terms'!$H$9*12),"",B110+1)</f>
        <v>106</v>
      </c>
      <c r="C111" s="128">
        <f>IF(B111="","",IF('Loan Terms'!$H$15="30/360",30,D111-D110))</f>
        <v>30</v>
      </c>
      <c r="D111" s="129">
        <f t="shared" si="9"/>
        <v>48321</v>
      </c>
      <c r="E111" s="129" t="str">
        <f>IF(B111="","",IF(B111&lt;='Loan Terms'!$G$10,"Yes","No"))</f>
        <v>No</v>
      </c>
      <c r="F111" s="101">
        <f>IF(B111="","",IF('Loan Terms'!$C$13="Fixed",'Loan Terms'!$H$17,V111))</f>
        <v>6.5000000000000002E-2</v>
      </c>
      <c r="G111" s="12">
        <f t="shared" si="10"/>
        <v>5822089.7706580022</v>
      </c>
      <c r="H111" s="12">
        <f>IF(G111="","",IF('Loan Terms'!$C$13="Fixed",(E111="Yes")*J111+(E111="No")*'Loan Terms'!$H$19,PMT(F111/12,'Loan Terms'!$G$11-B111+1,-G111)))</f>
        <v>38571.025053902427</v>
      </c>
      <c r="I111" s="12">
        <f>IF(B111="","",IF(B111='Loan Terms'!$H$9*12,G111,H111-J111))</f>
        <v>7034.7054628382466</v>
      </c>
      <c r="J111" s="130">
        <f>IF(B111="","",IF('Loan Terms'!$H$15="Actual/365",F111*(C111/365),F111*(C111/360))*G111)</f>
        <v>31536.319591064181</v>
      </c>
      <c r="K111" s="12">
        <f t="shared" si="7"/>
        <v>5815055.0651951637</v>
      </c>
      <c r="L111" s="130">
        <f t="shared" si="11"/>
        <v>38571.025053902427</v>
      </c>
      <c r="N111" s="14">
        <f t="shared" si="12"/>
        <v>745678.77906085411</v>
      </c>
      <c r="S111" s="217">
        <f t="shared" si="8"/>
        <v>48321</v>
      </c>
      <c r="T111" s="218">
        <v>3.0300000000000001E-2</v>
      </c>
      <c r="U111" s="219">
        <f>IF(S111="","",'Loan Terms'!$H$14)</f>
        <v>225</v>
      </c>
      <c r="V111" s="220">
        <f t="shared" si="13"/>
        <v>5.28E-2</v>
      </c>
    </row>
    <row r="112" spans="2:22" ht="14.25" customHeight="1" x14ac:dyDescent="0.2">
      <c r="B112" s="126">
        <f>IF(OR(B111="",B111='Loan Terms'!$H$9*12),"",B111+1)</f>
        <v>107</v>
      </c>
      <c r="C112" s="128">
        <f>IF(B112="","",IF('Loan Terms'!$H$15="30/360",30,D112-D111))</f>
        <v>30</v>
      </c>
      <c r="D112" s="129">
        <f t="shared" si="9"/>
        <v>48351</v>
      </c>
      <c r="E112" s="129" t="str">
        <f>IF(B112="","",IF(B112&lt;='Loan Terms'!$G$10,"Yes","No"))</f>
        <v>No</v>
      </c>
      <c r="F112" s="101">
        <f>IF(B112="","",IF('Loan Terms'!$C$13="Fixed",'Loan Terms'!$H$17,V112))</f>
        <v>6.5000000000000002E-2</v>
      </c>
      <c r="G112" s="12">
        <f t="shared" si="10"/>
        <v>5815055.0651951637</v>
      </c>
      <c r="H112" s="12">
        <f>IF(G112="","",IF('Loan Terms'!$C$13="Fixed",(E112="Yes")*J112+(E112="No")*'Loan Terms'!$H$19,PMT(F112/12,'Loan Terms'!$G$11-B112+1,-G112)))</f>
        <v>38571.025053902427</v>
      </c>
      <c r="I112" s="12">
        <f>IF(B112="","",IF(B112='Loan Terms'!$H$9*12,G112,H112-J112))</f>
        <v>7072.8101174286239</v>
      </c>
      <c r="J112" s="130">
        <f>IF(B112="","",IF('Loan Terms'!$H$15="Actual/365",F112*(C112/365),F112*(C112/360))*G112)</f>
        <v>31498.214936473803</v>
      </c>
      <c r="K112" s="12">
        <f t="shared" si="7"/>
        <v>5807982.2550777355</v>
      </c>
      <c r="L112" s="130">
        <f t="shared" si="11"/>
        <v>38571.025053902427</v>
      </c>
      <c r="N112" s="14">
        <f t="shared" si="12"/>
        <v>756790.68256486277</v>
      </c>
      <c r="S112" s="217">
        <f t="shared" si="8"/>
        <v>48351</v>
      </c>
      <c r="T112" s="218">
        <v>3.0300000000000001E-2</v>
      </c>
      <c r="U112" s="219">
        <f>IF(S112="","",'Loan Terms'!$H$14)</f>
        <v>225</v>
      </c>
      <c r="V112" s="220">
        <f t="shared" si="13"/>
        <v>5.28E-2</v>
      </c>
    </row>
    <row r="113" spans="2:22" ht="14.25" customHeight="1" x14ac:dyDescent="0.2">
      <c r="B113" s="126">
        <f>IF(OR(B112="",B112='Loan Terms'!$H$9*12),"",B112+1)</f>
        <v>108</v>
      </c>
      <c r="C113" s="128">
        <f>IF(B113="","",IF('Loan Terms'!$H$15="30/360",30,D113-D112))</f>
        <v>30</v>
      </c>
      <c r="D113" s="129">
        <f t="shared" si="9"/>
        <v>48382</v>
      </c>
      <c r="E113" s="129" t="str">
        <f>IF(B113="","",IF(B113&lt;='Loan Terms'!$G$10,"Yes","No"))</f>
        <v>No</v>
      </c>
      <c r="F113" s="101">
        <f>IF(B113="","",IF('Loan Terms'!$C$13="Fixed",'Loan Terms'!$H$17,V113))</f>
        <v>6.5000000000000002E-2</v>
      </c>
      <c r="G113" s="12">
        <f t="shared" si="10"/>
        <v>5807982.2550777355</v>
      </c>
      <c r="H113" s="12">
        <f>IF(G113="","",IF('Loan Terms'!$C$13="Fixed",(E113="Yes")*J113+(E113="No")*'Loan Terms'!$H$19,PMT(F113/12,'Loan Terms'!$G$11-B113+1,-G113)))</f>
        <v>38571.025053902427</v>
      </c>
      <c r="I113" s="12">
        <f>IF(B113="","",IF(B113='Loan Terms'!$H$9*12,G113,H113-J113))</f>
        <v>7111.1211722313601</v>
      </c>
      <c r="J113" s="130">
        <f>IF(B113="","",IF('Loan Terms'!$H$15="Actual/365",F113*(C113/365),F113*(C113/360))*G113)</f>
        <v>31459.903881671067</v>
      </c>
      <c r="K113" s="12">
        <f t="shared" si="7"/>
        <v>5800871.1339055039</v>
      </c>
      <c r="L113" s="130">
        <f t="shared" si="11"/>
        <v>38571.025053902427</v>
      </c>
      <c r="N113" s="14">
        <f t="shared" si="12"/>
        <v>768001.08660098689</v>
      </c>
      <c r="S113" s="217">
        <f t="shared" si="8"/>
        <v>48382</v>
      </c>
      <c r="T113" s="218">
        <v>3.0300000000000001E-2</v>
      </c>
      <c r="U113" s="219">
        <f>IF(S113="","",'Loan Terms'!$H$14)</f>
        <v>225</v>
      </c>
      <c r="V113" s="220">
        <f t="shared" si="13"/>
        <v>5.28E-2</v>
      </c>
    </row>
    <row r="114" spans="2:22" ht="14.25" customHeight="1" x14ac:dyDescent="0.2">
      <c r="B114" s="126">
        <f>IF(OR(B113="",B113='Loan Terms'!$H$9*12),"",B113+1)</f>
        <v>109</v>
      </c>
      <c r="C114" s="128">
        <f>IF(B114="","",IF('Loan Terms'!$H$15="30/360",30,D114-D113))</f>
        <v>30</v>
      </c>
      <c r="D114" s="129">
        <f t="shared" si="9"/>
        <v>48412</v>
      </c>
      <c r="E114" s="129" t="str">
        <f>IF(B114="","",IF(B114&lt;='Loan Terms'!$G$10,"Yes","No"))</f>
        <v>No</v>
      </c>
      <c r="F114" s="101">
        <f>IF(B114="","",IF('Loan Terms'!$C$13="Fixed",'Loan Terms'!$H$17,V114))</f>
        <v>6.5000000000000002E-2</v>
      </c>
      <c r="G114" s="12">
        <f t="shared" si="10"/>
        <v>5800871.1339055039</v>
      </c>
      <c r="H114" s="12">
        <f>IF(G114="","",IF('Loan Terms'!$C$13="Fixed",(E114="Yes")*J114+(E114="No")*'Loan Terms'!$H$19,PMT(F114/12,'Loan Terms'!$G$11-B114+1,-G114)))</f>
        <v>38571.025053902427</v>
      </c>
      <c r="I114" s="12">
        <f>IF(B114="","",IF(B114='Loan Terms'!$H$9*12,G114,H114-J114))</f>
        <v>7149.6397452476122</v>
      </c>
      <c r="J114" s="130">
        <f>IF(B114="","",IF('Loan Terms'!$H$15="Actual/365",F114*(C114/365),F114*(C114/360))*G114)</f>
        <v>31421.385308654815</v>
      </c>
      <c r="K114" s="12">
        <f t="shared" si="7"/>
        <v>5793721.4941602563</v>
      </c>
      <c r="L114" s="130">
        <f t="shared" si="11"/>
        <v>38571.025053902427</v>
      </c>
      <c r="N114" s="14">
        <f t="shared" si="12"/>
        <v>779310.73223198974</v>
      </c>
      <c r="S114" s="217">
        <f t="shared" si="8"/>
        <v>48412</v>
      </c>
      <c r="T114" s="218">
        <v>3.04E-2</v>
      </c>
      <c r="U114" s="219">
        <f>IF(S114="","",'Loan Terms'!$H$14)</f>
        <v>225</v>
      </c>
      <c r="V114" s="220">
        <f t="shared" si="13"/>
        <v>5.2900000000000003E-2</v>
      </c>
    </row>
    <row r="115" spans="2:22" ht="14.25" customHeight="1" x14ac:dyDescent="0.2">
      <c r="B115" s="126">
        <f>IF(OR(B114="",B114='Loan Terms'!$H$9*12),"",B114+1)</f>
        <v>110</v>
      </c>
      <c r="C115" s="128">
        <f>IF(B115="","",IF('Loan Terms'!$H$15="30/360",30,D115-D114))</f>
        <v>30</v>
      </c>
      <c r="D115" s="129">
        <f t="shared" si="9"/>
        <v>48443</v>
      </c>
      <c r="E115" s="129" t="str">
        <f>IF(B115="","",IF(B115&lt;='Loan Terms'!$G$10,"Yes","No"))</f>
        <v>No</v>
      </c>
      <c r="F115" s="101">
        <f>IF(B115="","",IF('Loan Terms'!$C$13="Fixed",'Loan Terms'!$H$17,V115))</f>
        <v>6.5000000000000002E-2</v>
      </c>
      <c r="G115" s="12">
        <f t="shared" si="10"/>
        <v>5793721.4941602563</v>
      </c>
      <c r="H115" s="12">
        <f>IF(G115="","",IF('Loan Terms'!$C$13="Fixed",(E115="Yes")*J115+(E115="No")*'Loan Terms'!$H$19,PMT(F115/12,'Loan Terms'!$G$11-B115+1,-G115)))</f>
        <v>38571.025053902427</v>
      </c>
      <c r="I115" s="12">
        <f>IF(B115="","",IF(B115='Loan Terms'!$H$9*12,G115,H115-J115))</f>
        <v>7188.3669605343712</v>
      </c>
      <c r="J115" s="130">
        <f>IF(B115="","",IF('Loan Terms'!$H$15="Actual/365",F115*(C115/365),F115*(C115/360))*G115)</f>
        <v>31382.658093368056</v>
      </c>
      <c r="K115" s="12">
        <f t="shared" si="7"/>
        <v>5786533.1271997215</v>
      </c>
      <c r="L115" s="130">
        <f t="shared" si="11"/>
        <v>38571.025053902427</v>
      </c>
      <c r="N115" s="14">
        <f t="shared" si="12"/>
        <v>790720.36565878079</v>
      </c>
      <c r="S115" s="217">
        <f t="shared" si="8"/>
        <v>48443</v>
      </c>
      <c r="T115" s="218">
        <v>3.04E-2</v>
      </c>
      <c r="U115" s="219">
        <f>IF(S115="","",'Loan Terms'!$H$14)</f>
        <v>225</v>
      </c>
      <c r="V115" s="220">
        <f t="shared" si="13"/>
        <v>5.2900000000000003E-2</v>
      </c>
    </row>
    <row r="116" spans="2:22" ht="14.25" customHeight="1" x14ac:dyDescent="0.2">
      <c r="B116" s="126">
        <f>IF(OR(B115="",B115='Loan Terms'!$H$9*12),"",B115+1)</f>
        <v>111</v>
      </c>
      <c r="C116" s="128">
        <f>IF(B116="","",IF('Loan Terms'!$H$15="30/360",30,D116-D115))</f>
        <v>30</v>
      </c>
      <c r="D116" s="129">
        <f t="shared" si="9"/>
        <v>48474</v>
      </c>
      <c r="E116" s="129" t="str">
        <f>IF(B116="","",IF(B116&lt;='Loan Terms'!$G$10,"Yes","No"))</f>
        <v>No</v>
      </c>
      <c r="F116" s="101">
        <f>IF(B116="","",IF('Loan Terms'!$C$13="Fixed",'Loan Terms'!$H$17,V116))</f>
        <v>6.5000000000000002E-2</v>
      </c>
      <c r="G116" s="12">
        <f t="shared" si="10"/>
        <v>5786533.1271997215</v>
      </c>
      <c r="H116" s="12">
        <f>IF(G116="","",IF('Loan Terms'!$C$13="Fixed",(E116="Yes")*J116+(E116="No")*'Loan Terms'!$H$19,PMT(F116/12,'Loan Terms'!$G$11-B116+1,-G116)))</f>
        <v>38571.025053902427</v>
      </c>
      <c r="I116" s="12">
        <f>IF(B116="","",IF(B116='Loan Terms'!$H$9*12,G116,H116-J116))</f>
        <v>7227.3039482372697</v>
      </c>
      <c r="J116" s="130">
        <f>IF(B116="","",IF('Loan Terms'!$H$15="Actual/365",F116*(C116/365),F116*(C116/360))*G116)</f>
        <v>31343.721105665158</v>
      </c>
      <c r="K116" s="12">
        <f t="shared" si="7"/>
        <v>5779305.823251484</v>
      </c>
      <c r="L116" s="130">
        <f t="shared" si="11"/>
        <v>38571.025053902427</v>
      </c>
      <c r="N116" s="14">
        <f t="shared" si="12"/>
        <v>802230.73825433687</v>
      </c>
      <c r="S116" s="217">
        <f t="shared" si="8"/>
        <v>48474</v>
      </c>
      <c r="T116" s="218">
        <v>3.04E-2</v>
      </c>
      <c r="U116" s="219">
        <f>IF(S116="","",'Loan Terms'!$H$14)</f>
        <v>225</v>
      </c>
      <c r="V116" s="220">
        <f t="shared" si="13"/>
        <v>5.2900000000000003E-2</v>
      </c>
    </row>
    <row r="117" spans="2:22" ht="14.25" customHeight="1" x14ac:dyDescent="0.2">
      <c r="B117" s="126">
        <f>IF(OR(B116="",B116='Loan Terms'!$H$9*12),"",B116+1)</f>
        <v>112</v>
      </c>
      <c r="C117" s="128">
        <f>IF(B117="","",IF('Loan Terms'!$H$15="30/360",30,D117-D116))</f>
        <v>30</v>
      </c>
      <c r="D117" s="129">
        <f t="shared" si="9"/>
        <v>48504</v>
      </c>
      <c r="E117" s="129" t="str">
        <f>IF(B117="","",IF(B117&lt;='Loan Terms'!$G$10,"Yes","No"))</f>
        <v>No</v>
      </c>
      <c r="F117" s="101">
        <f>IF(B117="","",IF('Loan Terms'!$C$13="Fixed",'Loan Terms'!$H$17,V117))</f>
        <v>6.5000000000000002E-2</v>
      </c>
      <c r="G117" s="12">
        <f t="shared" si="10"/>
        <v>5779305.823251484</v>
      </c>
      <c r="H117" s="12">
        <f>IF(G117="","",IF('Loan Terms'!$C$13="Fixed",(E117="Yes")*J117+(E117="No")*'Loan Terms'!$H$19,PMT(F117/12,'Loan Terms'!$G$11-B117+1,-G117)))</f>
        <v>38571.025053902427</v>
      </c>
      <c r="I117" s="12">
        <f>IF(B117="","",IF(B117='Loan Terms'!$H$9*12,G117,H117-J117))</f>
        <v>7266.4518446235561</v>
      </c>
      <c r="J117" s="130">
        <f>IF(B117="","",IF('Loan Terms'!$H$15="Actual/365",F117*(C117/365),F117*(C117/360))*G117)</f>
        <v>31304.573209278871</v>
      </c>
      <c r="K117" s="12">
        <f t="shared" si="7"/>
        <v>5772039.3714068606</v>
      </c>
      <c r="L117" s="130">
        <f t="shared" si="11"/>
        <v>38571.025053902427</v>
      </c>
      <c r="N117" s="14">
        <f t="shared" si="12"/>
        <v>813842.60659783822</v>
      </c>
      <c r="S117" s="217">
        <f t="shared" si="8"/>
        <v>48504</v>
      </c>
      <c r="T117" s="218">
        <v>3.0499999999999999E-2</v>
      </c>
      <c r="U117" s="219">
        <f>IF(S117="","",'Loan Terms'!$H$14)</f>
        <v>225</v>
      </c>
      <c r="V117" s="220">
        <f t="shared" si="13"/>
        <v>5.2999999999999999E-2</v>
      </c>
    </row>
    <row r="118" spans="2:22" ht="14.25" customHeight="1" x14ac:dyDescent="0.2">
      <c r="B118" s="126">
        <f>IF(OR(B117="",B117='Loan Terms'!$H$9*12),"",B117+1)</f>
        <v>113</v>
      </c>
      <c r="C118" s="128">
        <f>IF(B118="","",IF('Loan Terms'!$H$15="30/360",30,D118-D117))</f>
        <v>30</v>
      </c>
      <c r="D118" s="129">
        <f t="shared" si="9"/>
        <v>48535</v>
      </c>
      <c r="E118" s="129" t="str">
        <f>IF(B118="","",IF(B118&lt;='Loan Terms'!$G$10,"Yes","No"))</f>
        <v>No</v>
      </c>
      <c r="F118" s="101">
        <f>IF(B118="","",IF('Loan Terms'!$C$13="Fixed",'Loan Terms'!$H$17,V118))</f>
        <v>6.5000000000000002E-2</v>
      </c>
      <c r="G118" s="12">
        <f t="shared" si="10"/>
        <v>5772039.3714068606</v>
      </c>
      <c r="H118" s="12">
        <f>IF(G118="","",IF('Loan Terms'!$C$13="Fixed",(E118="Yes")*J118+(E118="No")*'Loan Terms'!$H$19,PMT(F118/12,'Loan Terms'!$G$11-B118+1,-G118)))</f>
        <v>38571.025053902427</v>
      </c>
      <c r="I118" s="12">
        <f>IF(B118="","",IF(B118='Loan Terms'!$H$9*12,G118,H118-J118))</f>
        <v>7305.8117921152661</v>
      </c>
      <c r="J118" s="130">
        <f>IF(B118="","",IF('Loan Terms'!$H$15="Actual/365",F118*(C118/365),F118*(C118/360))*G118)</f>
        <v>31265.213261787161</v>
      </c>
      <c r="K118" s="12">
        <f t="shared" si="7"/>
        <v>5764733.559614745</v>
      </c>
      <c r="L118" s="130">
        <f t="shared" si="11"/>
        <v>38571.025053902427</v>
      </c>
      <c r="N118" s="14">
        <f t="shared" si="12"/>
        <v>825556.73250902502</v>
      </c>
      <c r="S118" s="217">
        <f t="shared" si="8"/>
        <v>48535</v>
      </c>
      <c r="T118" s="218">
        <v>3.0499999999999999E-2</v>
      </c>
      <c r="U118" s="219">
        <f>IF(S118="","",'Loan Terms'!$H$14)</f>
        <v>225</v>
      </c>
      <c r="V118" s="220">
        <f t="shared" si="13"/>
        <v>5.2999999999999999E-2</v>
      </c>
    </row>
    <row r="119" spans="2:22" ht="14.25" customHeight="1" x14ac:dyDescent="0.2">
      <c r="B119" s="126">
        <f>IF(OR(B118="",B118='Loan Terms'!$H$9*12),"",B118+1)</f>
        <v>114</v>
      </c>
      <c r="C119" s="128">
        <f>IF(B119="","",IF('Loan Terms'!$H$15="30/360",30,D119-D118))</f>
        <v>30</v>
      </c>
      <c r="D119" s="129">
        <f t="shared" si="9"/>
        <v>48565</v>
      </c>
      <c r="E119" s="129" t="str">
        <f>IF(B119="","",IF(B119&lt;='Loan Terms'!$G$10,"Yes","No"))</f>
        <v>No</v>
      </c>
      <c r="F119" s="101">
        <f>IF(B119="","",IF('Loan Terms'!$C$13="Fixed",'Loan Terms'!$H$17,V119))</f>
        <v>6.5000000000000002E-2</v>
      </c>
      <c r="G119" s="12">
        <f t="shared" si="10"/>
        <v>5764733.559614745</v>
      </c>
      <c r="H119" s="12">
        <f>IF(G119="","",IF('Loan Terms'!$C$13="Fixed",(E119="Yes")*J119+(E119="No")*'Loan Terms'!$H$19,PMT(F119/12,'Loan Terms'!$G$11-B119+1,-G119)))</f>
        <v>38571.025053902427</v>
      </c>
      <c r="I119" s="12">
        <f>IF(B119="","",IF(B119='Loan Terms'!$H$9*12,G119,H119-J119))</f>
        <v>7345.3849393225573</v>
      </c>
      <c r="J119" s="130">
        <f>IF(B119="","",IF('Loan Terms'!$H$15="Actual/365",F119*(C119/365),F119*(C119/360))*G119)</f>
        <v>31225.64011457987</v>
      </c>
      <c r="K119" s="12">
        <f t="shared" si="7"/>
        <v>5757388.1746754227</v>
      </c>
      <c r="L119" s="130">
        <f t="shared" si="11"/>
        <v>38571.025053902427</v>
      </c>
      <c r="N119" s="14">
        <f t="shared" si="12"/>
        <v>837373.88308277156</v>
      </c>
      <c r="S119" s="217">
        <f t="shared" si="8"/>
        <v>48565</v>
      </c>
      <c r="T119" s="218">
        <v>3.0499999999999999E-2</v>
      </c>
      <c r="U119" s="219">
        <f>IF(S119="","",'Loan Terms'!$H$14)</f>
        <v>225</v>
      </c>
      <c r="V119" s="220">
        <f t="shared" si="13"/>
        <v>5.2999999999999999E-2</v>
      </c>
    </row>
    <row r="120" spans="2:22" ht="14.25" customHeight="1" x14ac:dyDescent="0.2">
      <c r="B120" s="126">
        <f>IF(OR(B119="",B119='Loan Terms'!$H$9*12),"",B119+1)</f>
        <v>115</v>
      </c>
      <c r="C120" s="128">
        <f>IF(B120="","",IF('Loan Terms'!$H$15="30/360",30,D120-D119))</f>
        <v>30</v>
      </c>
      <c r="D120" s="129">
        <f t="shared" si="9"/>
        <v>48596</v>
      </c>
      <c r="E120" s="129" t="str">
        <f>IF(B120="","",IF(B120&lt;='Loan Terms'!$G$10,"Yes","No"))</f>
        <v>No</v>
      </c>
      <c r="F120" s="101">
        <f>IF(B120="","",IF('Loan Terms'!$C$13="Fixed",'Loan Terms'!$H$17,V120))</f>
        <v>6.5000000000000002E-2</v>
      </c>
      <c r="G120" s="12">
        <f t="shared" si="10"/>
        <v>5757388.1746754227</v>
      </c>
      <c r="H120" s="12">
        <f>IF(G120="","",IF('Loan Terms'!$C$13="Fixed",(E120="Yes")*J120+(E120="No")*'Loan Terms'!$H$19,PMT(F120/12,'Loan Terms'!$G$11-B120+1,-G120)))</f>
        <v>38571.025053902427</v>
      </c>
      <c r="I120" s="12">
        <f>IF(B120="","",IF(B120='Loan Terms'!$H$9*12,G120,H120-J120))</f>
        <v>7385.1724410772185</v>
      </c>
      <c r="J120" s="130">
        <f>IF(B120="","",IF('Loan Terms'!$H$15="Actual/365",F120*(C120/365),F120*(C120/360))*G120)</f>
        <v>31185.852612825209</v>
      </c>
      <c r="K120" s="12">
        <f t="shared" si="7"/>
        <v>5750003.0022343453</v>
      </c>
      <c r="L120" s="130">
        <f t="shared" si="11"/>
        <v>38571.025053902427</v>
      </c>
      <c r="N120" s="14">
        <f t="shared" si="12"/>
        <v>849294.83072388009</v>
      </c>
      <c r="S120" s="217">
        <f t="shared" si="8"/>
        <v>48596</v>
      </c>
      <c r="T120" s="218">
        <v>3.0599999999999999E-2</v>
      </c>
      <c r="U120" s="219">
        <f>IF(S120="","",'Loan Terms'!$H$14)</f>
        <v>225</v>
      </c>
      <c r="V120" s="220">
        <f t="shared" si="13"/>
        <v>5.3099999999999994E-2</v>
      </c>
    </row>
    <row r="121" spans="2:22" ht="14.25" customHeight="1" x14ac:dyDescent="0.2">
      <c r="B121" s="126">
        <f>IF(OR(B120="",B120='Loan Terms'!$H$9*12),"",B120+1)</f>
        <v>116</v>
      </c>
      <c r="C121" s="128">
        <f>IF(B121="","",IF('Loan Terms'!$H$15="30/360",30,D121-D120))</f>
        <v>30</v>
      </c>
      <c r="D121" s="129">
        <f t="shared" si="9"/>
        <v>48627</v>
      </c>
      <c r="E121" s="129" t="str">
        <f>IF(B121="","",IF(B121&lt;='Loan Terms'!$G$10,"Yes","No"))</f>
        <v>No</v>
      </c>
      <c r="F121" s="101">
        <f>IF(B121="","",IF('Loan Terms'!$C$13="Fixed",'Loan Terms'!$H$17,V121))</f>
        <v>6.5000000000000002E-2</v>
      </c>
      <c r="G121" s="12">
        <f t="shared" si="10"/>
        <v>5750003.0022343453</v>
      </c>
      <c r="H121" s="12">
        <f>IF(G121="","",IF('Loan Terms'!$C$13="Fixed",(E121="Yes")*J121+(E121="No")*'Loan Terms'!$H$19,PMT(F121/12,'Loan Terms'!$G$11-B121+1,-G121)))</f>
        <v>38571.025053902427</v>
      </c>
      <c r="I121" s="12">
        <f>IF(B121="","",IF(B121='Loan Terms'!$H$9*12,G121,H121-J121))</f>
        <v>7425.1754584663904</v>
      </c>
      <c r="J121" s="130">
        <f>IF(B121="","",IF('Loan Terms'!$H$15="Actual/365",F121*(C121/365),F121*(C121/360))*G121)</f>
        <v>31145.849595436037</v>
      </c>
      <c r="K121" s="12">
        <f t="shared" si="7"/>
        <v>5742577.8267758787</v>
      </c>
      <c r="L121" s="130">
        <f t="shared" si="11"/>
        <v>38571.025053902427</v>
      </c>
      <c r="N121" s="14">
        <f t="shared" si="12"/>
        <v>861320.35318210127</v>
      </c>
      <c r="S121" s="217">
        <f t="shared" si="8"/>
        <v>48627</v>
      </c>
      <c r="T121" s="218">
        <v>3.0599999999999999E-2</v>
      </c>
      <c r="U121" s="219">
        <f>IF(S121="","",'Loan Terms'!$H$14)</f>
        <v>225</v>
      </c>
      <c r="V121" s="220">
        <f t="shared" si="13"/>
        <v>5.3099999999999994E-2</v>
      </c>
    </row>
    <row r="122" spans="2:22" ht="14.25" customHeight="1" x14ac:dyDescent="0.2">
      <c r="B122" s="126">
        <f>IF(OR(B121="",B121='Loan Terms'!$H$9*12),"",B121+1)</f>
        <v>117</v>
      </c>
      <c r="C122" s="128">
        <f>IF(B122="","",IF('Loan Terms'!$H$15="30/360",30,D122-D121))</f>
        <v>30</v>
      </c>
      <c r="D122" s="129">
        <f t="shared" si="9"/>
        <v>48655</v>
      </c>
      <c r="E122" s="129" t="str">
        <f>IF(B122="","",IF(B122&lt;='Loan Terms'!$G$10,"Yes","No"))</f>
        <v>No</v>
      </c>
      <c r="F122" s="101">
        <f>IF(B122="","",IF('Loan Terms'!$C$13="Fixed",'Loan Terms'!$H$17,V122))</f>
        <v>6.5000000000000002E-2</v>
      </c>
      <c r="G122" s="12">
        <f t="shared" si="10"/>
        <v>5742577.8267758787</v>
      </c>
      <c r="H122" s="12">
        <f>IF(G122="","",IF('Loan Terms'!$C$13="Fixed",(E122="Yes")*J122+(E122="No")*'Loan Terms'!$H$19,PMT(F122/12,'Loan Terms'!$G$11-B122+1,-G122)))</f>
        <v>38571.025053902427</v>
      </c>
      <c r="I122" s="12">
        <f>IF(B122="","",IF(B122='Loan Terms'!$H$9*12,G122,H122-J122))</f>
        <v>7465.3951588664168</v>
      </c>
      <c r="J122" s="130">
        <f>IF(B122="","",IF('Loan Terms'!$H$15="Actual/365",F122*(C122/365),F122*(C122/360))*G122)</f>
        <v>31105.629895036011</v>
      </c>
      <c r="K122" s="12">
        <f t="shared" si="7"/>
        <v>5735112.4316170122</v>
      </c>
      <c r="L122" s="130">
        <f t="shared" si="11"/>
        <v>38571.025053902427</v>
      </c>
      <c r="N122" s="14">
        <f t="shared" si="12"/>
        <v>873451.23358737072</v>
      </c>
      <c r="S122" s="217">
        <f t="shared" si="8"/>
        <v>48655</v>
      </c>
      <c r="T122" s="218">
        <v>3.0599999999999999E-2</v>
      </c>
      <c r="U122" s="219">
        <f>IF(S122="","",'Loan Terms'!$H$14)</f>
        <v>225</v>
      </c>
      <c r="V122" s="220">
        <f t="shared" si="13"/>
        <v>5.3099999999999994E-2</v>
      </c>
    </row>
    <row r="123" spans="2:22" ht="14.25" customHeight="1" x14ac:dyDescent="0.2">
      <c r="B123" s="126">
        <f>IF(OR(B122="",B122='Loan Terms'!$H$9*12),"",B122+1)</f>
        <v>118</v>
      </c>
      <c r="C123" s="128">
        <f>IF(B123="","",IF('Loan Terms'!$H$15="30/360",30,D123-D122))</f>
        <v>30</v>
      </c>
      <c r="D123" s="129">
        <f t="shared" si="9"/>
        <v>48686</v>
      </c>
      <c r="E123" s="129" t="str">
        <f>IF(B123="","",IF(B123&lt;='Loan Terms'!$G$10,"Yes","No"))</f>
        <v>No</v>
      </c>
      <c r="F123" s="101">
        <f>IF(B123="","",IF('Loan Terms'!$C$13="Fixed",'Loan Terms'!$H$17,V123))</f>
        <v>6.5000000000000002E-2</v>
      </c>
      <c r="G123" s="12">
        <f t="shared" si="10"/>
        <v>5735112.4316170122</v>
      </c>
      <c r="H123" s="12">
        <f>IF(G123="","",IF('Loan Terms'!$C$13="Fixed",(E123="Yes")*J123+(E123="No")*'Loan Terms'!$H$19,PMT(F123/12,'Loan Terms'!$G$11-B123+1,-G123)))</f>
        <v>38571.025053902427</v>
      </c>
      <c r="I123" s="12">
        <f>IF(B123="","",IF(B123='Loan Terms'!$H$9*12,G123,H123-J123))</f>
        <v>7505.8327159769433</v>
      </c>
      <c r="J123" s="130">
        <f>IF(B123="","",IF('Loan Terms'!$H$15="Actual/365",F123*(C123/365),F123*(C123/360))*G123)</f>
        <v>31065.192337925484</v>
      </c>
      <c r="K123" s="12">
        <f t="shared" si="7"/>
        <v>5727606.5989010353</v>
      </c>
      <c r="L123" s="130">
        <f t="shared" si="11"/>
        <v>38571.025053902427</v>
      </c>
      <c r="N123" s="14">
        <f t="shared" si="12"/>
        <v>885688.26048527926</v>
      </c>
      <c r="S123" s="217">
        <f t="shared" si="8"/>
        <v>48686</v>
      </c>
      <c r="T123" s="218">
        <v>3.0700000000000002E-2</v>
      </c>
      <c r="U123" s="219">
        <f>IF(S123="","",'Loan Terms'!$H$14)</f>
        <v>225</v>
      </c>
      <c r="V123" s="220">
        <f t="shared" si="13"/>
        <v>5.3199999999999997E-2</v>
      </c>
    </row>
    <row r="124" spans="2:22" ht="14.25" customHeight="1" x14ac:dyDescent="0.2">
      <c r="B124" s="126">
        <f>IF(OR(B123="",B123='Loan Terms'!$H$9*12),"",B123+1)</f>
        <v>119</v>
      </c>
      <c r="C124" s="128">
        <f>IF(B124="","",IF('Loan Terms'!$H$15="30/360",30,D124-D123))</f>
        <v>30</v>
      </c>
      <c r="D124" s="129">
        <f t="shared" si="9"/>
        <v>48716</v>
      </c>
      <c r="E124" s="129" t="str">
        <f>IF(B124="","",IF(B124&lt;='Loan Terms'!$G$10,"Yes","No"))</f>
        <v>No</v>
      </c>
      <c r="F124" s="101">
        <f>IF(B124="","",IF('Loan Terms'!$C$13="Fixed",'Loan Terms'!$H$17,V124))</f>
        <v>6.5000000000000002E-2</v>
      </c>
      <c r="G124" s="12">
        <f t="shared" si="10"/>
        <v>5727606.5989010353</v>
      </c>
      <c r="H124" s="12">
        <f>IF(G124="","",IF('Loan Terms'!$C$13="Fixed",(E124="Yes")*J124+(E124="No")*'Loan Terms'!$H$19,PMT(F124/12,'Loan Terms'!$G$11-B124+1,-G124)))</f>
        <v>38571.025053902427</v>
      </c>
      <c r="I124" s="12">
        <f>IF(B124="","",IF(B124='Loan Terms'!$H$9*12,G124,H124-J124))</f>
        <v>7546.4893098551511</v>
      </c>
      <c r="J124" s="130">
        <f>IF(B124="","",IF('Loan Terms'!$H$15="Actual/365",F124*(C124/365),F124*(C124/360))*G124)</f>
        <v>31024.535744047276</v>
      </c>
      <c r="K124" s="12">
        <f t="shared" si="7"/>
        <v>5720060.1095911805</v>
      </c>
      <c r="L124" s="130">
        <f t="shared" si="11"/>
        <v>38571.025053902427</v>
      </c>
      <c r="N124" s="14">
        <f t="shared" si="12"/>
        <v>898032.22787276295</v>
      </c>
      <c r="O124" s="14"/>
      <c r="S124" s="217">
        <f t="shared" si="8"/>
        <v>48716</v>
      </c>
      <c r="T124" s="218">
        <v>3.0700000000000002E-2</v>
      </c>
      <c r="U124" s="219">
        <f>IF(S124="","",'Loan Terms'!$H$14)</f>
        <v>225</v>
      </c>
      <c r="V124" s="220">
        <f t="shared" si="13"/>
        <v>5.3199999999999997E-2</v>
      </c>
    </row>
    <row r="125" spans="2:22" ht="14.25" customHeight="1" x14ac:dyDescent="0.2">
      <c r="B125" s="126">
        <f>IF(OR(B124="",B124='Loan Terms'!$H$9*12),"",B124+1)</f>
        <v>120</v>
      </c>
      <c r="C125" s="128">
        <f>IF(B125="","",IF('Loan Terms'!$H$15="30/360",30,D125-D124))</f>
        <v>30</v>
      </c>
      <c r="D125" s="129">
        <f t="shared" si="9"/>
        <v>48747</v>
      </c>
      <c r="E125" s="129" t="str">
        <f>IF(B125="","",IF(B125&lt;='Loan Terms'!$G$10,"Yes","No"))</f>
        <v>No</v>
      </c>
      <c r="F125" s="101">
        <f>IF(B125="","",IF('Loan Terms'!$C$13="Fixed",'Loan Terms'!$H$17,V125))</f>
        <v>6.5000000000000002E-2</v>
      </c>
      <c r="G125" s="12">
        <f t="shared" si="10"/>
        <v>5720060.1095911805</v>
      </c>
      <c r="H125" s="12">
        <f>IF(G125="","",IF('Loan Terms'!$C$13="Fixed",(E125="Yes")*J125+(E125="No")*'Loan Terms'!$H$19,PMT(F125/12,'Loan Terms'!$G$11-B125+1,-G125)))</f>
        <v>38571.025053902427</v>
      </c>
      <c r="I125" s="12">
        <f>IF(B125="","",IF(B125='Loan Terms'!$H$9*12,G125,H125-J125))</f>
        <v>5720060.1095911805</v>
      </c>
      <c r="J125" s="130">
        <f>IF(B125="","",IF('Loan Terms'!$H$15="Actual/365",F125*(C125/365),F125*(C125/360))*G125)</f>
        <v>30983.65892695223</v>
      </c>
      <c r="K125" s="12">
        <f t="shared" si="7"/>
        <v>0</v>
      </c>
      <c r="L125" s="130">
        <f t="shared" si="11"/>
        <v>5751043.7685181331</v>
      </c>
      <c r="N125" s="14">
        <f t="shared" si="12"/>
        <v>686407213.15094161</v>
      </c>
      <c r="S125" s="217">
        <f t="shared" si="8"/>
        <v>48747</v>
      </c>
      <c r="T125" s="218">
        <v>3.0700000000000002E-2</v>
      </c>
      <c r="U125" s="219">
        <f>IF(S125="","",'Loan Terms'!$H$14)</f>
        <v>225</v>
      </c>
      <c r="V125" s="220">
        <f t="shared" si="13"/>
        <v>5.3199999999999997E-2</v>
      </c>
    </row>
    <row r="126" spans="2:22" ht="14.25" customHeight="1" x14ac:dyDescent="0.2">
      <c r="B126" s="126" t="str">
        <f>IF(OR(B125="",B125='Loan Terms'!$H$9*12),"",B125+1)</f>
        <v/>
      </c>
      <c r="C126" s="128" t="str">
        <f>IF(B126="","",IF('Loan Terms'!$H$15="30/360",30,D126-D125))</f>
        <v/>
      </c>
      <c r="D126" s="129" t="str">
        <f t="shared" si="9"/>
        <v/>
      </c>
      <c r="E126" s="129" t="str">
        <f>IF(B126="","",IF(B126&lt;='Loan Terms'!$G$10,"Yes","No"))</f>
        <v/>
      </c>
      <c r="F126" s="101" t="str">
        <f>IF(B126="","",IF('Loan Terms'!$C$13="Fixed",'Loan Terms'!$H$17,V126))</f>
        <v/>
      </c>
      <c r="G126" s="12" t="str">
        <f t="shared" si="10"/>
        <v/>
      </c>
      <c r="H126" s="12" t="str">
        <f>IF(G126="","",IF('Loan Terms'!$C$13="Fixed",(E126="Yes")*J126+(E126="No")*'Loan Terms'!$H$19,PMT(F126/12,'Loan Terms'!$G$11-B126+1,-G126)))</f>
        <v/>
      </c>
      <c r="I126" s="12" t="str">
        <f>IF(B126="","",IF(B126='Loan Terms'!$H$9*12,G126,H126-J126))</f>
        <v/>
      </c>
      <c r="J126" s="130" t="str">
        <f>IF(B126="","",IF('Loan Terms'!$H$15="Actual/365",F126*(C126/365),F126*(C126/360))*G126)</f>
        <v/>
      </c>
      <c r="K126" s="12" t="str">
        <f t="shared" si="7"/>
        <v/>
      </c>
      <c r="L126" s="130" t="str">
        <f t="shared" si="11"/>
        <v/>
      </c>
      <c r="N126" s="14" t="str">
        <f t="shared" si="12"/>
        <v/>
      </c>
      <c r="S126" s="217" t="str">
        <f t="shared" si="8"/>
        <v/>
      </c>
      <c r="T126" s="218" t="str">
        <f>IF(S126="","",T125)</f>
        <v/>
      </c>
      <c r="U126" s="219" t="str">
        <f>IF(S126="","",'Loan Terms'!$H$14)</f>
        <v/>
      </c>
      <c r="V126" s="220" t="str">
        <f t="shared" si="13"/>
        <v/>
      </c>
    </row>
    <row r="127" spans="2:22" ht="14.25" customHeight="1" x14ac:dyDescent="0.2">
      <c r="B127" s="126" t="str">
        <f>IF(OR(B126="",B126='Loan Terms'!$H$9*12),"",B126+1)</f>
        <v/>
      </c>
      <c r="C127" s="128" t="str">
        <f>IF(B127="","",IF('Loan Terms'!$H$15="30/360",30,D127-D126))</f>
        <v/>
      </c>
      <c r="D127" s="129" t="str">
        <f t="shared" si="9"/>
        <v/>
      </c>
      <c r="E127" s="129" t="str">
        <f>IF(B127="","",IF(B127&lt;='Loan Terms'!$G$10,"Yes","No"))</f>
        <v/>
      </c>
      <c r="F127" s="101" t="str">
        <f>IF(B127="","",IF('Loan Terms'!$C$13="Fixed",'Loan Terms'!$H$17,V127))</f>
        <v/>
      </c>
      <c r="G127" s="12" t="str">
        <f t="shared" si="10"/>
        <v/>
      </c>
      <c r="H127" s="12" t="str">
        <f>IF(G127="","",IF('Loan Terms'!$C$13="Fixed",(E127="Yes")*J127+(E127="No")*'Loan Terms'!$H$19,PMT(F127/12,'Loan Terms'!$G$11-B127+1,-G127)))</f>
        <v/>
      </c>
      <c r="I127" s="12" t="str">
        <f>IF(B127="","",IF(B127='Loan Terms'!$H$9*12,G127,H127-J127))</f>
        <v/>
      </c>
      <c r="J127" s="130" t="str">
        <f>IF(B127="","",IF('Loan Terms'!$H$15="Actual/365",F127*(C127/365),F127*(C127/360))*G127)</f>
        <v/>
      </c>
      <c r="K127" s="12" t="str">
        <f t="shared" si="7"/>
        <v/>
      </c>
      <c r="L127" s="130" t="str">
        <f t="shared" si="11"/>
        <v/>
      </c>
      <c r="N127" s="14" t="str">
        <f t="shared" si="12"/>
        <v/>
      </c>
      <c r="S127" s="217" t="str">
        <f t="shared" si="8"/>
        <v/>
      </c>
      <c r="T127" s="218" t="str">
        <f t="shared" ref="T127:T190" si="14">IF(S127="","",T126)</f>
        <v/>
      </c>
      <c r="U127" s="219" t="str">
        <f>IF(S127="","",'Loan Terms'!$H$14)</f>
        <v/>
      </c>
      <c r="V127" s="220" t="str">
        <f t="shared" si="13"/>
        <v/>
      </c>
    </row>
    <row r="128" spans="2:22" ht="14.25" customHeight="1" x14ac:dyDescent="0.2">
      <c r="B128" s="126" t="str">
        <f>IF(OR(B127="",B127='Loan Terms'!$H$9*12),"",B127+1)</f>
        <v/>
      </c>
      <c r="C128" s="128" t="str">
        <f>IF(B128="","",IF('Loan Terms'!$H$15="30/360",30,D128-D127))</f>
        <v/>
      </c>
      <c r="D128" s="129" t="str">
        <f t="shared" si="9"/>
        <v/>
      </c>
      <c r="E128" s="129" t="str">
        <f>IF(B128="","",IF(B128&lt;='Loan Terms'!$G$10,"Yes","No"))</f>
        <v/>
      </c>
      <c r="F128" s="101" t="str">
        <f>IF(B128="","",IF('Loan Terms'!$C$13="Fixed",'Loan Terms'!$H$17,V128))</f>
        <v/>
      </c>
      <c r="G128" s="12" t="str">
        <f t="shared" si="10"/>
        <v/>
      </c>
      <c r="H128" s="12" t="str">
        <f>IF(G128="","",IF('Loan Terms'!$C$13="Fixed",(E128="Yes")*J128+(E128="No")*'Loan Terms'!$H$19,PMT(F128/12,'Loan Terms'!$G$11-B128+1,-G128)))</f>
        <v/>
      </c>
      <c r="I128" s="12" t="str">
        <f>IF(B128="","",IF(B128='Loan Terms'!$H$9*12,G128,H128-J128))</f>
        <v/>
      </c>
      <c r="J128" s="130" t="str">
        <f>IF(B128="","",IF('Loan Terms'!$H$15="Actual/365",F128*(C128/365),F128*(C128/360))*G128)</f>
        <v/>
      </c>
      <c r="K128" s="12" t="str">
        <f t="shared" si="7"/>
        <v/>
      </c>
      <c r="L128" s="130" t="str">
        <f t="shared" si="11"/>
        <v/>
      </c>
      <c r="N128" s="14" t="str">
        <f t="shared" si="12"/>
        <v/>
      </c>
      <c r="S128" s="217" t="str">
        <f t="shared" si="8"/>
        <v/>
      </c>
      <c r="T128" s="218" t="str">
        <f t="shared" si="14"/>
        <v/>
      </c>
      <c r="U128" s="219" t="str">
        <f>IF(S128="","",'Loan Terms'!$H$14)</f>
        <v/>
      </c>
      <c r="V128" s="220" t="str">
        <f t="shared" si="13"/>
        <v/>
      </c>
    </row>
    <row r="129" spans="2:22" ht="14.25" customHeight="1" x14ac:dyDescent="0.2">
      <c r="B129" s="126" t="str">
        <f>IF(OR(B128="",B128='Loan Terms'!$H$9*12),"",B128+1)</f>
        <v/>
      </c>
      <c r="C129" s="128" t="str">
        <f>IF(B129="","",IF('Loan Terms'!$H$15="30/360",30,D129-D128))</f>
        <v/>
      </c>
      <c r="D129" s="129" t="str">
        <f t="shared" si="9"/>
        <v/>
      </c>
      <c r="E129" s="129" t="str">
        <f>IF(B129="","",IF(B129&lt;='Loan Terms'!$G$10,"Yes","No"))</f>
        <v/>
      </c>
      <c r="F129" s="101" t="str">
        <f>IF(B129="","",IF('Loan Terms'!$C$13="Fixed",'Loan Terms'!$H$17,V129))</f>
        <v/>
      </c>
      <c r="G129" s="12" t="str">
        <f t="shared" si="10"/>
        <v/>
      </c>
      <c r="H129" s="12" t="str">
        <f>IF(G129="","",IF('Loan Terms'!$C$13="Fixed",(E129="Yes")*J129+(E129="No")*'Loan Terms'!$H$19,PMT(F129/12,'Loan Terms'!$G$11-B129+1,-G129)))</f>
        <v/>
      </c>
      <c r="I129" s="12" t="str">
        <f>IF(B129="","",IF(B129='Loan Terms'!$H$9*12,G129,H129-J129))</f>
        <v/>
      </c>
      <c r="J129" s="130" t="str">
        <f>IF(B129="","",IF('Loan Terms'!$H$15="Actual/365",F129*(C129/365),F129*(C129/360))*G129)</f>
        <v/>
      </c>
      <c r="K129" s="12" t="str">
        <f t="shared" si="7"/>
        <v/>
      </c>
      <c r="L129" s="130" t="str">
        <f t="shared" si="11"/>
        <v/>
      </c>
      <c r="N129" s="14" t="str">
        <f t="shared" si="12"/>
        <v/>
      </c>
      <c r="S129" s="217" t="str">
        <f t="shared" si="8"/>
        <v/>
      </c>
      <c r="T129" s="218" t="str">
        <f t="shared" si="14"/>
        <v/>
      </c>
      <c r="U129" s="219" t="str">
        <f>IF(S129="","",'Loan Terms'!$H$14)</f>
        <v/>
      </c>
      <c r="V129" s="220" t="str">
        <f t="shared" si="13"/>
        <v/>
      </c>
    </row>
    <row r="130" spans="2:22" ht="14.25" customHeight="1" x14ac:dyDescent="0.2">
      <c r="B130" s="126" t="str">
        <f>IF(OR(B129="",B129='Loan Terms'!$H$9*12),"",B129+1)</f>
        <v/>
      </c>
      <c r="C130" s="128" t="str">
        <f>IF(B130="","",IF('Loan Terms'!$H$15="30/360",30,D130-D129))</f>
        <v/>
      </c>
      <c r="D130" s="129" t="str">
        <f t="shared" si="9"/>
        <v/>
      </c>
      <c r="E130" s="129" t="str">
        <f>IF(B130="","",IF(B130&lt;='Loan Terms'!$G$10,"Yes","No"))</f>
        <v/>
      </c>
      <c r="F130" s="101" t="str">
        <f>IF(B130="","",IF('Loan Terms'!$C$13="Fixed",'Loan Terms'!$H$17,V130))</f>
        <v/>
      </c>
      <c r="G130" s="12" t="str">
        <f t="shared" si="10"/>
        <v/>
      </c>
      <c r="H130" s="12" t="str">
        <f>IF(G130="","",IF('Loan Terms'!$C$13="Fixed",(E130="Yes")*J130+(E130="No")*'Loan Terms'!$H$19,PMT(F130/12,'Loan Terms'!$G$11-B130+1,-G130)))</f>
        <v/>
      </c>
      <c r="I130" s="12" t="str">
        <f>IF(B130="","",IF(B130='Loan Terms'!$H$9*12,G130,H130-J130))</f>
        <v/>
      </c>
      <c r="J130" s="130" t="str">
        <f>IF(B130="","",IF('Loan Terms'!$H$15="Actual/365",F130*(C130/365),F130*(C130/360))*G130)</f>
        <v/>
      </c>
      <c r="K130" s="12" t="str">
        <f t="shared" si="7"/>
        <v/>
      </c>
      <c r="L130" s="130" t="str">
        <f t="shared" si="11"/>
        <v/>
      </c>
      <c r="N130" s="14" t="str">
        <f t="shared" si="12"/>
        <v/>
      </c>
      <c r="S130" s="217" t="str">
        <f t="shared" si="8"/>
        <v/>
      </c>
      <c r="T130" s="218" t="str">
        <f t="shared" si="14"/>
        <v/>
      </c>
      <c r="U130" s="219" t="str">
        <f>IF(S130="","",'Loan Terms'!$H$14)</f>
        <v/>
      </c>
      <c r="V130" s="220" t="str">
        <f t="shared" si="13"/>
        <v/>
      </c>
    </row>
    <row r="131" spans="2:22" ht="14.25" customHeight="1" x14ac:dyDescent="0.2">
      <c r="B131" s="126" t="str">
        <f>IF(OR(B130="",B130='Loan Terms'!$H$9*12),"",B130+1)</f>
        <v/>
      </c>
      <c r="C131" s="128" t="str">
        <f>IF(B131="","",IF('Loan Terms'!$H$15="30/360",30,D131-D130))</f>
        <v/>
      </c>
      <c r="D131" s="129" t="str">
        <f t="shared" si="9"/>
        <v/>
      </c>
      <c r="E131" s="129" t="str">
        <f>IF(B131="","",IF(B131&lt;='Loan Terms'!$G$10,"Yes","No"))</f>
        <v/>
      </c>
      <c r="F131" s="101" t="str">
        <f>IF(B131="","",IF('Loan Terms'!$C$13="Fixed",'Loan Terms'!$H$17,V131))</f>
        <v/>
      </c>
      <c r="G131" s="12" t="str">
        <f t="shared" si="10"/>
        <v/>
      </c>
      <c r="H131" s="12" t="str">
        <f>IF(G131="","",IF('Loan Terms'!$C$13="Fixed",(E131="Yes")*J131+(E131="No")*'Loan Terms'!$H$19,PMT(F131/12,'Loan Terms'!$G$11-B131+1,-G131)))</f>
        <v/>
      </c>
      <c r="I131" s="12" t="str">
        <f>IF(B131="","",IF(B131='Loan Terms'!$H$9*12,G131,H131-J131))</f>
        <v/>
      </c>
      <c r="J131" s="130" t="str">
        <f>IF(B131="","",IF('Loan Terms'!$H$15="Actual/365",F131*(C131/365),F131*(C131/360))*G131)</f>
        <v/>
      </c>
      <c r="K131" s="12" t="str">
        <f t="shared" si="7"/>
        <v/>
      </c>
      <c r="L131" s="130" t="str">
        <f t="shared" si="11"/>
        <v/>
      </c>
      <c r="N131" s="14" t="str">
        <f t="shared" si="12"/>
        <v/>
      </c>
      <c r="S131" s="217" t="str">
        <f t="shared" si="8"/>
        <v/>
      </c>
      <c r="T131" s="218" t="str">
        <f t="shared" si="14"/>
        <v/>
      </c>
      <c r="U131" s="219" t="str">
        <f>IF(S131="","",'Loan Terms'!$H$14)</f>
        <v/>
      </c>
      <c r="V131" s="220" t="str">
        <f t="shared" si="13"/>
        <v/>
      </c>
    </row>
    <row r="132" spans="2:22" ht="14.25" customHeight="1" x14ac:dyDescent="0.2">
      <c r="B132" s="126" t="str">
        <f>IF(OR(B131="",B131='Loan Terms'!$H$9*12),"",B131+1)</f>
        <v/>
      </c>
      <c r="C132" s="128" t="str">
        <f>IF(B132="","",IF('Loan Terms'!$H$15="30/360",30,D132-D131))</f>
        <v/>
      </c>
      <c r="D132" s="129" t="str">
        <f t="shared" si="9"/>
        <v/>
      </c>
      <c r="E132" s="129" t="str">
        <f>IF(B132="","",IF(B132&lt;='Loan Terms'!$G$10,"Yes","No"))</f>
        <v/>
      </c>
      <c r="F132" s="101" t="str">
        <f>IF(B132="","",IF('Loan Terms'!$C$13="Fixed",'Loan Terms'!$H$17,V132))</f>
        <v/>
      </c>
      <c r="G132" s="12" t="str">
        <f t="shared" si="10"/>
        <v/>
      </c>
      <c r="H132" s="12" t="str">
        <f>IF(G132="","",IF('Loan Terms'!$C$13="Fixed",(E132="Yes")*J132+(E132="No")*'Loan Terms'!$H$19,PMT(F132/12,'Loan Terms'!$G$11-B132+1,-G132)))</f>
        <v/>
      </c>
      <c r="I132" s="12" t="str">
        <f>IF(B132="","",IF(B132='Loan Terms'!$H$9*12,G132,H132-J132))</f>
        <v/>
      </c>
      <c r="J132" s="130" t="str">
        <f>IF(B132="","",IF('Loan Terms'!$H$15="Actual/365",F132*(C132/365),F132*(C132/360))*G132)</f>
        <v/>
      </c>
      <c r="K132" s="12" t="str">
        <f t="shared" si="7"/>
        <v/>
      </c>
      <c r="L132" s="130" t="str">
        <f t="shared" si="11"/>
        <v/>
      </c>
      <c r="N132" s="14" t="str">
        <f t="shared" si="12"/>
        <v/>
      </c>
      <c r="S132" s="217" t="str">
        <f t="shared" si="8"/>
        <v/>
      </c>
      <c r="T132" s="218" t="str">
        <f t="shared" si="14"/>
        <v/>
      </c>
      <c r="U132" s="219" t="str">
        <f>IF(S132="","",'Loan Terms'!$H$14)</f>
        <v/>
      </c>
      <c r="V132" s="220" t="str">
        <f t="shared" si="13"/>
        <v/>
      </c>
    </row>
    <row r="133" spans="2:22" ht="14.25" customHeight="1" x14ac:dyDescent="0.2">
      <c r="B133" s="126" t="str">
        <f>IF(OR(B132="",B132='Loan Terms'!$H$9*12),"",B132+1)</f>
        <v/>
      </c>
      <c r="C133" s="128" t="str">
        <f>IF(B133="","",IF('Loan Terms'!$H$15="30/360",30,D133-D132))</f>
        <v/>
      </c>
      <c r="D133" s="129" t="str">
        <f t="shared" si="9"/>
        <v/>
      </c>
      <c r="E133" s="129" t="str">
        <f>IF(B133="","",IF(B133&lt;='Loan Terms'!$G$10,"Yes","No"))</f>
        <v/>
      </c>
      <c r="F133" s="101" t="str">
        <f>IF(B133="","",IF('Loan Terms'!$C$13="Fixed",'Loan Terms'!$H$17,V133))</f>
        <v/>
      </c>
      <c r="G133" s="12" t="str">
        <f t="shared" si="10"/>
        <v/>
      </c>
      <c r="H133" s="12" t="str">
        <f>IF(G133="","",IF('Loan Terms'!$C$13="Fixed",(E133="Yes")*J133+(E133="No")*'Loan Terms'!$H$19,PMT(F133/12,'Loan Terms'!$G$11-B133+1,-G133)))</f>
        <v/>
      </c>
      <c r="I133" s="12" t="str">
        <f>IF(B133="","",IF(B133='Loan Terms'!$H$9*12,G133,H133-J133))</f>
        <v/>
      </c>
      <c r="J133" s="130" t="str">
        <f>IF(B133="","",IF('Loan Terms'!$H$15="Actual/365",F133*(C133/365),F133*(C133/360))*G133)</f>
        <v/>
      </c>
      <c r="K133" s="12" t="str">
        <f t="shared" si="7"/>
        <v/>
      </c>
      <c r="L133" s="130" t="str">
        <f t="shared" si="11"/>
        <v/>
      </c>
      <c r="N133" s="14" t="str">
        <f t="shared" si="12"/>
        <v/>
      </c>
      <c r="S133" s="217" t="str">
        <f t="shared" si="8"/>
        <v/>
      </c>
      <c r="T133" s="218" t="str">
        <f t="shared" si="14"/>
        <v/>
      </c>
      <c r="U133" s="219" t="str">
        <f>IF(S133="","",'Loan Terms'!$H$14)</f>
        <v/>
      </c>
      <c r="V133" s="220" t="str">
        <f t="shared" si="13"/>
        <v/>
      </c>
    </row>
    <row r="134" spans="2:22" ht="14.25" customHeight="1" x14ac:dyDescent="0.2">
      <c r="B134" s="126" t="str">
        <f>IF(OR(B133="",B133='Loan Terms'!$H$9*12),"",B133+1)</f>
        <v/>
      </c>
      <c r="C134" s="128" t="str">
        <f>IF(B134="","",IF('Loan Terms'!$H$15="30/360",30,D134-D133))</f>
        <v/>
      </c>
      <c r="D134" s="129" t="str">
        <f t="shared" si="9"/>
        <v/>
      </c>
      <c r="E134" s="129" t="str">
        <f>IF(B134="","",IF(B134&lt;='Loan Terms'!$G$10,"Yes","No"))</f>
        <v/>
      </c>
      <c r="F134" s="101" t="str">
        <f>IF(B134="","",IF('Loan Terms'!$C$13="Fixed",'Loan Terms'!$H$17,V134))</f>
        <v/>
      </c>
      <c r="G134" s="12" t="str">
        <f t="shared" si="10"/>
        <v/>
      </c>
      <c r="H134" s="12" t="str">
        <f>IF(G134="","",IF('Loan Terms'!$C$13="Fixed",(E134="Yes")*J134+(E134="No")*'Loan Terms'!$H$19,PMT(F134/12,'Loan Terms'!$G$11-B134+1,-G134)))</f>
        <v/>
      </c>
      <c r="I134" s="12" t="str">
        <f>IF(B134="","",IF(B134='Loan Terms'!$H$9*12,G134,H134-J134))</f>
        <v/>
      </c>
      <c r="J134" s="130" t="str">
        <f>IF(B134="","",IF('Loan Terms'!$H$15="Actual/365",F134*(C134/365),F134*(C134/360))*G134)</f>
        <v/>
      </c>
      <c r="K134" s="12" t="str">
        <f t="shared" ref="K134:K197" si="15">IF(B134="","",G134-I134)</f>
        <v/>
      </c>
      <c r="L134" s="130" t="str">
        <f t="shared" si="11"/>
        <v/>
      </c>
      <c r="N134" s="14" t="str">
        <f t="shared" si="12"/>
        <v/>
      </c>
      <c r="S134" s="217" t="str">
        <f t="shared" ref="S134:S197" si="16">D134</f>
        <v/>
      </c>
      <c r="T134" s="218" t="str">
        <f t="shared" si="14"/>
        <v/>
      </c>
      <c r="U134" s="219" t="str">
        <f>IF(S134="","",'Loan Terms'!$H$14)</f>
        <v/>
      </c>
      <c r="V134" s="220" t="str">
        <f t="shared" si="13"/>
        <v/>
      </c>
    </row>
    <row r="135" spans="2:22" ht="14.25" customHeight="1" x14ac:dyDescent="0.2">
      <c r="B135" s="126" t="str">
        <f>IF(OR(B134="",B134='Loan Terms'!$H$9*12),"",B134+1)</f>
        <v/>
      </c>
      <c r="C135" s="128" t="str">
        <f>IF(B135="","",IF('Loan Terms'!$H$15="30/360",30,D135-D134))</f>
        <v/>
      </c>
      <c r="D135" s="129" t="str">
        <f t="shared" ref="D135:D198" si="17">IF(B135="","",EDATE(D134,1))</f>
        <v/>
      </c>
      <c r="E135" s="129" t="str">
        <f>IF(B135="","",IF(B135&lt;='Loan Terms'!$G$10,"Yes","No"))</f>
        <v/>
      </c>
      <c r="F135" s="101" t="str">
        <f>IF(B135="","",IF('Loan Terms'!$C$13="Fixed",'Loan Terms'!$H$17,V135))</f>
        <v/>
      </c>
      <c r="G135" s="12" t="str">
        <f t="shared" ref="G135:G198" si="18">IF(B135="","",K134)</f>
        <v/>
      </c>
      <c r="H135" s="12" t="str">
        <f>IF(G135="","",IF('Loan Terms'!$C$13="Fixed",(E135="Yes")*J135+(E135="No")*'Loan Terms'!$H$19,PMT(F135/12,'Loan Terms'!$G$11-B135+1,-G135)))</f>
        <v/>
      </c>
      <c r="I135" s="12" t="str">
        <f>IF(B135="","",IF(B135='Loan Terms'!$H$9*12,G135,H135-J135))</f>
        <v/>
      </c>
      <c r="J135" s="130" t="str">
        <f>IF(B135="","",IF('Loan Terms'!$H$15="Actual/365",F135*(C135/365),F135*(C135/360))*G135)</f>
        <v/>
      </c>
      <c r="K135" s="12" t="str">
        <f t="shared" si="15"/>
        <v/>
      </c>
      <c r="L135" s="130" t="str">
        <f t="shared" ref="L135:L198" si="19">IF(B135="","",J135+I135)</f>
        <v/>
      </c>
      <c r="N135" s="14" t="str">
        <f t="shared" ref="N135:N198" si="20">IF(B135="","",I135*B135)</f>
        <v/>
      </c>
      <c r="S135" s="217" t="str">
        <f t="shared" si="16"/>
        <v/>
      </c>
      <c r="T135" s="218" t="str">
        <f t="shared" si="14"/>
        <v/>
      </c>
      <c r="U135" s="219" t="str">
        <f>IF(S135="","",'Loan Terms'!$H$14)</f>
        <v/>
      </c>
      <c r="V135" s="220" t="str">
        <f t="shared" ref="V135:V198" si="21">IF(S135="","",T135+U135/10000)</f>
        <v/>
      </c>
    </row>
    <row r="136" spans="2:22" ht="14.25" customHeight="1" x14ac:dyDescent="0.2">
      <c r="B136" s="126" t="str">
        <f>IF(OR(B135="",B135='Loan Terms'!$H$9*12),"",B135+1)</f>
        <v/>
      </c>
      <c r="C136" s="128" t="str">
        <f>IF(B136="","",IF('Loan Terms'!$H$15="30/360",30,D136-D135))</f>
        <v/>
      </c>
      <c r="D136" s="129" t="str">
        <f t="shared" si="17"/>
        <v/>
      </c>
      <c r="E136" s="129" t="str">
        <f>IF(B136="","",IF(B136&lt;='Loan Terms'!$G$10,"Yes","No"))</f>
        <v/>
      </c>
      <c r="F136" s="101" t="str">
        <f>IF(B136="","",IF('Loan Terms'!$C$13="Fixed",'Loan Terms'!$H$17,V136))</f>
        <v/>
      </c>
      <c r="G136" s="12" t="str">
        <f t="shared" si="18"/>
        <v/>
      </c>
      <c r="H136" s="12" t="str">
        <f>IF(G136="","",IF('Loan Terms'!$C$13="Fixed",(E136="Yes")*J136+(E136="No")*'Loan Terms'!$H$19,PMT(F136/12,'Loan Terms'!$G$11-B136+1,-G136)))</f>
        <v/>
      </c>
      <c r="I136" s="12" t="str">
        <f>IF(B136="","",IF(B136='Loan Terms'!$H$9*12,G136,H136-J136))</f>
        <v/>
      </c>
      <c r="J136" s="130" t="str">
        <f>IF(B136="","",IF('Loan Terms'!$H$15="Actual/365",F136*(C136/365),F136*(C136/360))*G136)</f>
        <v/>
      </c>
      <c r="K136" s="12" t="str">
        <f t="shared" si="15"/>
        <v/>
      </c>
      <c r="L136" s="130" t="str">
        <f t="shared" si="19"/>
        <v/>
      </c>
      <c r="N136" s="14" t="str">
        <f t="shared" si="20"/>
        <v/>
      </c>
      <c r="S136" s="217" t="str">
        <f t="shared" si="16"/>
        <v/>
      </c>
      <c r="T136" s="218" t="str">
        <f t="shared" si="14"/>
        <v/>
      </c>
      <c r="U136" s="219" t="str">
        <f>IF(S136="","",'Loan Terms'!$H$14)</f>
        <v/>
      </c>
      <c r="V136" s="220" t="str">
        <f t="shared" si="21"/>
        <v/>
      </c>
    </row>
    <row r="137" spans="2:22" ht="14.25" customHeight="1" x14ac:dyDescent="0.2">
      <c r="B137" s="126" t="str">
        <f>IF(OR(B136="",B136='Loan Terms'!$H$9*12),"",B136+1)</f>
        <v/>
      </c>
      <c r="C137" s="128" t="str">
        <f>IF(B137="","",IF('Loan Terms'!$H$15="30/360",30,D137-D136))</f>
        <v/>
      </c>
      <c r="D137" s="129" t="str">
        <f t="shared" si="17"/>
        <v/>
      </c>
      <c r="E137" s="129" t="str">
        <f>IF(B137="","",IF(B137&lt;='Loan Terms'!$G$10,"Yes","No"))</f>
        <v/>
      </c>
      <c r="F137" s="101" t="str">
        <f>IF(B137="","",IF('Loan Terms'!$C$13="Fixed",'Loan Terms'!$H$17,V137))</f>
        <v/>
      </c>
      <c r="G137" s="12" t="str">
        <f t="shared" si="18"/>
        <v/>
      </c>
      <c r="H137" s="12" t="str">
        <f>IF(G137="","",IF('Loan Terms'!$C$13="Fixed",(E137="Yes")*J137+(E137="No")*'Loan Terms'!$H$19,PMT(F137/12,'Loan Terms'!$G$11-B137+1,-G137)))</f>
        <v/>
      </c>
      <c r="I137" s="12" t="str">
        <f>IF(B137="","",IF(B137='Loan Terms'!$H$9*12,G137,H137-J137))</f>
        <v/>
      </c>
      <c r="J137" s="130" t="str">
        <f>IF(B137="","",IF('Loan Terms'!$H$15="Actual/365",F137*(C137/365),F137*(C137/360))*G137)</f>
        <v/>
      </c>
      <c r="K137" s="12" t="str">
        <f t="shared" si="15"/>
        <v/>
      </c>
      <c r="L137" s="130" t="str">
        <f t="shared" si="19"/>
        <v/>
      </c>
      <c r="N137" s="14" t="str">
        <f t="shared" si="20"/>
        <v/>
      </c>
      <c r="S137" s="217" t="str">
        <f t="shared" si="16"/>
        <v/>
      </c>
      <c r="T137" s="218" t="str">
        <f t="shared" si="14"/>
        <v/>
      </c>
      <c r="U137" s="219" t="str">
        <f>IF(S137="","",'Loan Terms'!$H$14)</f>
        <v/>
      </c>
      <c r="V137" s="220" t="str">
        <f t="shared" si="21"/>
        <v/>
      </c>
    </row>
    <row r="138" spans="2:22" ht="14.25" customHeight="1" x14ac:dyDescent="0.2">
      <c r="B138" s="126" t="str">
        <f>IF(OR(B137="",B137='Loan Terms'!$H$9*12),"",B137+1)</f>
        <v/>
      </c>
      <c r="C138" s="128" t="str">
        <f>IF(B138="","",IF('Loan Terms'!$H$15="30/360",30,D138-D137))</f>
        <v/>
      </c>
      <c r="D138" s="129" t="str">
        <f t="shared" si="17"/>
        <v/>
      </c>
      <c r="E138" s="129" t="str">
        <f>IF(B138="","",IF(B138&lt;='Loan Terms'!$G$10,"Yes","No"))</f>
        <v/>
      </c>
      <c r="F138" s="101" t="str">
        <f>IF(B138="","",IF('Loan Terms'!$C$13="Fixed",'Loan Terms'!$H$17,V138))</f>
        <v/>
      </c>
      <c r="G138" s="12" t="str">
        <f t="shared" si="18"/>
        <v/>
      </c>
      <c r="H138" s="12" t="str">
        <f>IF(G138="","",IF('Loan Terms'!$C$13="Fixed",(E138="Yes")*J138+(E138="No")*'Loan Terms'!$H$19,PMT(F138/12,'Loan Terms'!$G$11-B138+1,-G138)))</f>
        <v/>
      </c>
      <c r="I138" s="12" t="str">
        <f>IF(B138="","",IF(B138='Loan Terms'!$H$9*12,G138,H138-J138))</f>
        <v/>
      </c>
      <c r="J138" s="130" t="str">
        <f>IF(B138="","",IF('Loan Terms'!$H$15="Actual/365",F138*(C138/365),F138*(C138/360))*G138)</f>
        <v/>
      </c>
      <c r="K138" s="12" t="str">
        <f t="shared" si="15"/>
        <v/>
      </c>
      <c r="L138" s="130" t="str">
        <f t="shared" si="19"/>
        <v/>
      </c>
      <c r="N138" s="14" t="str">
        <f t="shared" si="20"/>
        <v/>
      </c>
      <c r="S138" s="217" t="str">
        <f t="shared" si="16"/>
        <v/>
      </c>
      <c r="T138" s="218" t="str">
        <f t="shared" si="14"/>
        <v/>
      </c>
      <c r="U138" s="219" t="str">
        <f>IF(S138="","",'Loan Terms'!$H$14)</f>
        <v/>
      </c>
      <c r="V138" s="220" t="str">
        <f t="shared" si="21"/>
        <v/>
      </c>
    </row>
    <row r="139" spans="2:22" ht="14.25" customHeight="1" x14ac:dyDescent="0.2">
      <c r="B139" s="126" t="str">
        <f>IF(OR(B138="",B138='Loan Terms'!$H$9*12),"",B138+1)</f>
        <v/>
      </c>
      <c r="C139" s="128" t="str">
        <f>IF(B139="","",IF('Loan Terms'!$H$15="30/360",30,D139-D138))</f>
        <v/>
      </c>
      <c r="D139" s="129" t="str">
        <f t="shared" si="17"/>
        <v/>
      </c>
      <c r="E139" s="129" t="str">
        <f>IF(B139="","",IF(B139&lt;='Loan Terms'!$G$10,"Yes","No"))</f>
        <v/>
      </c>
      <c r="F139" s="101" t="str">
        <f>IF(B139="","",IF('Loan Terms'!$C$13="Fixed",'Loan Terms'!$H$17,V139))</f>
        <v/>
      </c>
      <c r="G139" s="12" t="str">
        <f t="shared" si="18"/>
        <v/>
      </c>
      <c r="H139" s="12" t="str">
        <f>IF(G139="","",IF('Loan Terms'!$C$13="Fixed",(E139="Yes")*J139+(E139="No")*'Loan Terms'!$H$19,PMT(F139/12,'Loan Terms'!$G$11-B139+1,-G139)))</f>
        <v/>
      </c>
      <c r="I139" s="12" t="str">
        <f>IF(B139="","",IF(B139='Loan Terms'!$H$9*12,G139,H139-J139))</f>
        <v/>
      </c>
      <c r="J139" s="130" t="str">
        <f>IF(B139="","",IF('Loan Terms'!$H$15="Actual/365",F139*(C139/365),F139*(C139/360))*G139)</f>
        <v/>
      </c>
      <c r="K139" s="12" t="str">
        <f t="shared" si="15"/>
        <v/>
      </c>
      <c r="L139" s="130" t="str">
        <f t="shared" si="19"/>
        <v/>
      </c>
      <c r="N139" s="14" t="str">
        <f t="shared" si="20"/>
        <v/>
      </c>
      <c r="S139" s="217" t="str">
        <f t="shared" si="16"/>
        <v/>
      </c>
      <c r="T139" s="218" t="str">
        <f t="shared" si="14"/>
        <v/>
      </c>
      <c r="U139" s="219" t="str">
        <f>IF(S139="","",'Loan Terms'!$H$14)</f>
        <v/>
      </c>
      <c r="V139" s="220" t="str">
        <f t="shared" si="21"/>
        <v/>
      </c>
    </row>
    <row r="140" spans="2:22" ht="14.25" customHeight="1" x14ac:dyDescent="0.2">
      <c r="B140" s="126" t="str">
        <f>IF(OR(B139="",B139='Loan Terms'!$H$9*12),"",B139+1)</f>
        <v/>
      </c>
      <c r="C140" s="128" t="str">
        <f>IF(B140="","",IF('Loan Terms'!$H$15="30/360",30,D140-D139))</f>
        <v/>
      </c>
      <c r="D140" s="129" t="str">
        <f t="shared" si="17"/>
        <v/>
      </c>
      <c r="E140" s="129" t="str">
        <f>IF(B140="","",IF(B140&lt;='Loan Terms'!$G$10,"Yes","No"))</f>
        <v/>
      </c>
      <c r="F140" s="101" t="str">
        <f>IF(B140="","",IF('Loan Terms'!$C$13="Fixed",'Loan Terms'!$H$17,V140))</f>
        <v/>
      </c>
      <c r="G140" s="12" t="str">
        <f t="shared" si="18"/>
        <v/>
      </c>
      <c r="H140" s="12" t="str">
        <f>IF(G140="","",IF('Loan Terms'!$C$13="Fixed",(E140="Yes")*J140+(E140="No")*'Loan Terms'!$H$19,PMT(F140/12,'Loan Terms'!$G$11-B140+1,-G140)))</f>
        <v/>
      </c>
      <c r="I140" s="12" t="str">
        <f>IF(B140="","",IF(B140='Loan Terms'!$H$9*12,G140,H140-J140))</f>
        <v/>
      </c>
      <c r="J140" s="130" t="str">
        <f>IF(B140="","",IF('Loan Terms'!$H$15="Actual/365",F140*(C140/365),F140*(C140/360))*G140)</f>
        <v/>
      </c>
      <c r="K140" s="12" t="str">
        <f t="shared" si="15"/>
        <v/>
      </c>
      <c r="L140" s="130" t="str">
        <f t="shared" si="19"/>
        <v/>
      </c>
      <c r="N140" s="14" t="str">
        <f t="shared" si="20"/>
        <v/>
      </c>
      <c r="S140" s="217" t="str">
        <f t="shared" si="16"/>
        <v/>
      </c>
      <c r="T140" s="218" t="str">
        <f t="shared" si="14"/>
        <v/>
      </c>
      <c r="U140" s="219" t="str">
        <f>IF(S140="","",'Loan Terms'!$H$14)</f>
        <v/>
      </c>
      <c r="V140" s="220" t="str">
        <f t="shared" si="21"/>
        <v/>
      </c>
    </row>
    <row r="141" spans="2:22" ht="14.25" customHeight="1" x14ac:dyDescent="0.2">
      <c r="B141" s="126" t="str">
        <f>IF(OR(B140="",B140='Loan Terms'!$H$9*12),"",B140+1)</f>
        <v/>
      </c>
      <c r="C141" s="128" t="str">
        <f>IF(B141="","",IF('Loan Terms'!$H$15="30/360",30,D141-D140))</f>
        <v/>
      </c>
      <c r="D141" s="129" t="str">
        <f t="shared" si="17"/>
        <v/>
      </c>
      <c r="E141" s="129" t="str">
        <f>IF(B141="","",IF(B141&lt;='Loan Terms'!$G$10,"Yes","No"))</f>
        <v/>
      </c>
      <c r="F141" s="101" t="str">
        <f>IF(B141="","",IF('Loan Terms'!$C$13="Fixed",'Loan Terms'!$H$17,V141))</f>
        <v/>
      </c>
      <c r="G141" s="12" t="str">
        <f t="shared" si="18"/>
        <v/>
      </c>
      <c r="H141" s="12" t="str">
        <f>IF(G141="","",IF('Loan Terms'!$C$13="Fixed",(E141="Yes")*J141+(E141="No")*'Loan Terms'!$H$19,PMT(F141/12,'Loan Terms'!$G$11-B141+1,-G141)))</f>
        <v/>
      </c>
      <c r="I141" s="12" t="str">
        <f>IF(B141="","",IF(B141='Loan Terms'!$H$9*12,G141,H141-J141))</f>
        <v/>
      </c>
      <c r="J141" s="130" t="str">
        <f>IF(B141="","",IF('Loan Terms'!$H$15="Actual/365",F141*(C141/365),F141*(C141/360))*G141)</f>
        <v/>
      </c>
      <c r="K141" s="12" t="str">
        <f t="shared" si="15"/>
        <v/>
      </c>
      <c r="L141" s="130" t="str">
        <f t="shared" si="19"/>
        <v/>
      </c>
      <c r="N141" s="14" t="str">
        <f t="shared" si="20"/>
        <v/>
      </c>
      <c r="S141" s="217" t="str">
        <f t="shared" si="16"/>
        <v/>
      </c>
      <c r="T141" s="218" t="str">
        <f t="shared" si="14"/>
        <v/>
      </c>
      <c r="U141" s="219" t="str">
        <f>IF(S141="","",'Loan Terms'!$H$14)</f>
        <v/>
      </c>
      <c r="V141" s="220" t="str">
        <f t="shared" si="21"/>
        <v/>
      </c>
    </row>
    <row r="142" spans="2:22" ht="14.25" customHeight="1" x14ac:dyDescent="0.2">
      <c r="B142" s="126" t="str">
        <f>IF(OR(B141="",B141='Loan Terms'!$H$9*12),"",B141+1)</f>
        <v/>
      </c>
      <c r="C142" s="128" t="str">
        <f>IF(B142="","",IF('Loan Terms'!$H$15="30/360",30,D142-D141))</f>
        <v/>
      </c>
      <c r="D142" s="129" t="str">
        <f t="shared" si="17"/>
        <v/>
      </c>
      <c r="E142" s="129" t="str">
        <f>IF(B142="","",IF(B142&lt;='Loan Terms'!$G$10,"Yes","No"))</f>
        <v/>
      </c>
      <c r="F142" s="101" t="str">
        <f>IF(B142="","",IF('Loan Terms'!$C$13="Fixed",'Loan Terms'!$H$17,V142))</f>
        <v/>
      </c>
      <c r="G142" s="12" t="str">
        <f t="shared" si="18"/>
        <v/>
      </c>
      <c r="H142" s="12" t="str">
        <f>IF(G142="","",IF('Loan Terms'!$C$13="Fixed",(E142="Yes")*J142+(E142="No")*'Loan Terms'!$H$19,PMT(F142/12,'Loan Terms'!$G$11-B142+1,-G142)))</f>
        <v/>
      </c>
      <c r="I142" s="12" t="str">
        <f>IF(B142="","",IF(B142='Loan Terms'!$H$9*12,G142,H142-J142))</f>
        <v/>
      </c>
      <c r="J142" s="130" t="str">
        <f>IF(B142="","",IF('Loan Terms'!$H$15="Actual/365",F142*(C142/365),F142*(C142/360))*G142)</f>
        <v/>
      </c>
      <c r="K142" s="12" t="str">
        <f t="shared" si="15"/>
        <v/>
      </c>
      <c r="L142" s="130" t="str">
        <f t="shared" si="19"/>
        <v/>
      </c>
      <c r="N142" s="14" t="str">
        <f t="shared" si="20"/>
        <v/>
      </c>
      <c r="S142" s="217" t="str">
        <f t="shared" si="16"/>
        <v/>
      </c>
      <c r="T142" s="218" t="str">
        <f t="shared" si="14"/>
        <v/>
      </c>
      <c r="U142" s="219" t="str">
        <f>IF(S142="","",'Loan Terms'!$H$14)</f>
        <v/>
      </c>
      <c r="V142" s="220" t="str">
        <f t="shared" si="21"/>
        <v/>
      </c>
    </row>
    <row r="143" spans="2:22" ht="14.25" customHeight="1" x14ac:dyDescent="0.2">
      <c r="B143" s="126" t="str">
        <f>IF(OR(B142="",B142='Loan Terms'!$H$9*12),"",B142+1)</f>
        <v/>
      </c>
      <c r="C143" s="128" t="str">
        <f>IF(B143="","",IF('Loan Terms'!$H$15="30/360",30,D143-D142))</f>
        <v/>
      </c>
      <c r="D143" s="129" t="str">
        <f t="shared" si="17"/>
        <v/>
      </c>
      <c r="E143" s="129" t="str">
        <f>IF(B143="","",IF(B143&lt;='Loan Terms'!$G$10,"Yes","No"))</f>
        <v/>
      </c>
      <c r="F143" s="101" t="str">
        <f>IF(B143="","",IF('Loan Terms'!$C$13="Fixed",'Loan Terms'!$H$17,V143))</f>
        <v/>
      </c>
      <c r="G143" s="12" t="str">
        <f t="shared" si="18"/>
        <v/>
      </c>
      <c r="H143" s="12" t="str">
        <f>IF(G143="","",IF('Loan Terms'!$C$13="Fixed",(E143="Yes")*J143+(E143="No")*'Loan Terms'!$H$19,PMT(F143/12,'Loan Terms'!$G$11-B143+1,-G143)))</f>
        <v/>
      </c>
      <c r="I143" s="12" t="str">
        <f>IF(B143="","",IF(B143='Loan Terms'!$H$9*12,G143,H143-J143))</f>
        <v/>
      </c>
      <c r="J143" s="130" t="str">
        <f>IF(B143="","",IF('Loan Terms'!$H$15="Actual/365",F143*(C143/365),F143*(C143/360))*G143)</f>
        <v/>
      </c>
      <c r="K143" s="12" t="str">
        <f t="shared" si="15"/>
        <v/>
      </c>
      <c r="L143" s="130" t="str">
        <f t="shared" si="19"/>
        <v/>
      </c>
      <c r="N143" s="14" t="str">
        <f t="shared" si="20"/>
        <v/>
      </c>
      <c r="S143" s="217" t="str">
        <f t="shared" si="16"/>
        <v/>
      </c>
      <c r="T143" s="218" t="str">
        <f t="shared" si="14"/>
        <v/>
      </c>
      <c r="U143" s="219" t="str">
        <f>IF(S143="","",'Loan Terms'!$H$14)</f>
        <v/>
      </c>
      <c r="V143" s="220" t="str">
        <f t="shared" si="21"/>
        <v/>
      </c>
    </row>
    <row r="144" spans="2:22" ht="14.25" customHeight="1" x14ac:dyDescent="0.2">
      <c r="B144" s="126" t="str">
        <f>IF(OR(B143="",B143='Loan Terms'!$H$9*12),"",B143+1)</f>
        <v/>
      </c>
      <c r="C144" s="128" t="str">
        <f>IF(B144="","",IF('Loan Terms'!$H$15="30/360",30,D144-D143))</f>
        <v/>
      </c>
      <c r="D144" s="129" t="str">
        <f t="shared" si="17"/>
        <v/>
      </c>
      <c r="E144" s="129" t="str">
        <f>IF(B144="","",IF(B144&lt;='Loan Terms'!$G$10,"Yes","No"))</f>
        <v/>
      </c>
      <c r="F144" s="101" t="str">
        <f>IF(B144="","",IF('Loan Terms'!$C$13="Fixed",'Loan Terms'!$H$17,V144))</f>
        <v/>
      </c>
      <c r="G144" s="12" t="str">
        <f t="shared" si="18"/>
        <v/>
      </c>
      <c r="H144" s="12" t="str">
        <f>IF(G144="","",IF('Loan Terms'!$C$13="Fixed",(E144="Yes")*J144+(E144="No")*'Loan Terms'!$H$19,PMT(F144/12,'Loan Terms'!$G$11-B144+1,-G144)))</f>
        <v/>
      </c>
      <c r="I144" s="12" t="str">
        <f>IF(B144="","",IF(B144='Loan Terms'!$H$9*12,G144,H144-J144))</f>
        <v/>
      </c>
      <c r="J144" s="130" t="str">
        <f>IF(B144="","",IF('Loan Terms'!$H$15="Actual/365",F144*(C144/365),F144*(C144/360))*G144)</f>
        <v/>
      </c>
      <c r="K144" s="12" t="str">
        <f t="shared" si="15"/>
        <v/>
      </c>
      <c r="L144" s="130" t="str">
        <f t="shared" si="19"/>
        <v/>
      </c>
      <c r="N144" s="14" t="str">
        <f t="shared" si="20"/>
        <v/>
      </c>
      <c r="S144" s="217" t="str">
        <f t="shared" si="16"/>
        <v/>
      </c>
      <c r="T144" s="218" t="str">
        <f t="shared" si="14"/>
        <v/>
      </c>
      <c r="U144" s="219" t="str">
        <f>IF(S144="","",'Loan Terms'!$H$14)</f>
        <v/>
      </c>
      <c r="V144" s="220" t="str">
        <f t="shared" si="21"/>
        <v/>
      </c>
    </row>
    <row r="145" spans="2:22" ht="14.25" customHeight="1" x14ac:dyDescent="0.2">
      <c r="B145" s="126" t="str">
        <f>IF(OR(B144="",B144='Loan Terms'!$H$9*12),"",B144+1)</f>
        <v/>
      </c>
      <c r="C145" s="128" t="str">
        <f>IF(B145="","",IF('Loan Terms'!$H$15="30/360",30,D145-D144))</f>
        <v/>
      </c>
      <c r="D145" s="129" t="str">
        <f t="shared" si="17"/>
        <v/>
      </c>
      <c r="E145" s="129" t="str">
        <f>IF(B145="","",IF(B145&lt;='Loan Terms'!$G$10,"Yes","No"))</f>
        <v/>
      </c>
      <c r="F145" s="101" t="str">
        <f>IF(B145="","",IF('Loan Terms'!$C$13="Fixed",'Loan Terms'!$H$17,V145))</f>
        <v/>
      </c>
      <c r="G145" s="12" t="str">
        <f t="shared" si="18"/>
        <v/>
      </c>
      <c r="H145" s="12" t="str">
        <f>IF(G145="","",IF('Loan Terms'!$C$13="Fixed",(E145="Yes")*J145+(E145="No")*'Loan Terms'!$H$19,PMT(F145/12,'Loan Terms'!$G$11-B145+1,-G145)))</f>
        <v/>
      </c>
      <c r="I145" s="12" t="str">
        <f>IF(B145="","",IF(B145='Loan Terms'!$H$9*12,G145,H145-J145))</f>
        <v/>
      </c>
      <c r="J145" s="130" t="str">
        <f>IF(B145="","",IF('Loan Terms'!$H$15="Actual/365",F145*(C145/365),F145*(C145/360))*G145)</f>
        <v/>
      </c>
      <c r="K145" s="12" t="str">
        <f t="shared" si="15"/>
        <v/>
      </c>
      <c r="L145" s="130" t="str">
        <f t="shared" si="19"/>
        <v/>
      </c>
      <c r="N145" s="14" t="str">
        <f t="shared" si="20"/>
        <v/>
      </c>
      <c r="S145" s="217" t="str">
        <f t="shared" si="16"/>
        <v/>
      </c>
      <c r="T145" s="218" t="str">
        <f t="shared" si="14"/>
        <v/>
      </c>
      <c r="U145" s="219" t="str">
        <f>IF(S145="","",'Loan Terms'!$H$14)</f>
        <v/>
      </c>
      <c r="V145" s="220" t="str">
        <f t="shared" si="21"/>
        <v/>
      </c>
    </row>
    <row r="146" spans="2:22" ht="14.25" customHeight="1" x14ac:dyDescent="0.2">
      <c r="B146" s="126" t="str">
        <f>IF(OR(B145="",B145='Loan Terms'!$H$9*12),"",B145+1)</f>
        <v/>
      </c>
      <c r="C146" s="128" t="str">
        <f>IF(B146="","",IF('Loan Terms'!$H$15="30/360",30,D146-D145))</f>
        <v/>
      </c>
      <c r="D146" s="129" t="str">
        <f t="shared" si="17"/>
        <v/>
      </c>
      <c r="E146" s="129" t="str">
        <f>IF(B146="","",IF(B146&lt;='Loan Terms'!$G$10,"Yes","No"))</f>
        <v/>
      </c>
      <c r="F146" s="101" t="str">
        <f>IF(B146="","",IF('Loan Terms'!$C$13="Fixed",'Loan Terms'!$H$17,V146))</f>
        <v/>
      </c>
      <c r="G146" s="12" t="str">
        <f t="shared" si="18"/>
        <v/>
      </c>
      <c r="H146" s="12" t="str">
        <f>IF(G146="","",IF('Loan Terms'!$C$13="Fixed",(E146="Yes")*J146+(E146="No")*'Loan Terms'!$H$19,PMT(F146/12,'Loan Terms'!$G$11-B146+1,-G146)))</f>
        <v/>
      </c>
      <c r="I146" s="12" t="str">
        <f>IF(B146="","",IF(B146='Loan Terms'!$H$9*12,G146,H146-J146))</f>
        <v/>
      </c>
      <c r="J146" s="130" t="str">
        <f>IF(B146="","",IF('Loan Terms'!$H$15="Actual/365",F146*(C146/365),F146*(C146/360))*G146)</f>
        <v/>
      </c>
      <c r="K146" s="12" t="str">
        <f t="shared" si="15"/>
        <v/>
      </c>
      <c r="L146" s="130" t="str">
        <f t="shared" si="19"/>
        <v/>
      </c>
      <c r="N146" s="14" t="str">
        <f t="shared" si="20"/>
        <v/>
      </c>
      <c r="S146" s="217" t="str">
        <f t="shared" si="16"/>
        <v/>
      </c>
      <c r="T146" s="218" t="str">
        <f t="shared" si="14"/>
        <v/>
      </c>
      <c r="U146" s="219" t="str">
        <f>IF(S146="","",'Loan Terms'!$H$14)</f>
        <v/>
      </c>
      <c r="V146" s="220" t="str">
        <f t="shared" si="21"/>
        <v/>
      </c>
    </row>
    <row r="147" spans="2:22" ht="14.25" customHeight="1" x14ac:dyDescent="0.2">
      <c r="B147" s="126" t="str">
        <f>IF(OR(B146="",B146='Loan Terms'!$H$9*12),"",B146+1)</f>
        <v/>
      </c>
      <c r="C147" s="128" t="str">
        <f>IF(B147="","",IF('Loan Terms'!$H$15="30/360",30,D147-D146))</f>
        <v/>
      </c>
      <c r="D147" s="129" t="str">
        <f t="shared" si="17"/>
        <v/>
      </c>
      <c r="E147" s="129" t="str">
        <f>IF(B147="","",IF(B147&lt;='Loan Terms'!$G$10,"Yes","No"))</f>
        <v/>
      </c>
      <c r="F147" s="101" t="str">
        <f>IF(B147="","",IF('Loan Terms'!$C$13="Fixed",'Loan Terms'!$H$17,V147))</f>
        <v/>
      </c>
      <c r="G147" s="12" t="str">
        <f t="shared" si="18"/>
        <v/>
      </c>
      <c r="H147" s="12" t="str">
        <f>IF(G147="","",IF('Loan Terms'!$C$13="Fixed",(E147="Yes")*J147+(E147="No")*'Loan Terms'!$H$19,PMT(F147/12,'Loan Terms'!$G$11-B147+1,-G147)))</f>
        <v/>
      </c>
      <c r="I147" s="12" t="str">
        <f>IF(B147="","",IF(B147='Loan Terms'!$H$9*12,G147,H147-J147))</f>
        <v/>
      </c>
      <c r="J147" s="130" t="str">
        <f>IF(B147="","",IF('Loan Terms'!$H$15="Actual/365",F147*(C147/365),F147*(C147/360))*G147)</f>
        <v/>
      </c>
      <c r="K147" s="12" t="str">
        <f t="shared" si="15"/>
        <v/>
      </c>
      <c r="L147" s="130" t="str">
        <f t="shared" si="19"/>
        <v/>
      </c>
      <c r="N147" s="14" t="str">
        <f t="shared" si="20"/>
        <v/>
      </c>
      <c r="S147" s="217" t="str">
        <f t="shared" si="16"/>
        <v/>
      </c>
      <c r="T147" s="218" t="str">
        <f t="shared" si="14"/>
        <v/>
      </c>
      <c r="U147" s="219" t="str">
        <f>IF(S147="","",'Loan Terms'!$H$14)</f>
        <v/>
      </c>
      <c r="V147" s="220" t="str">
        <f t="shared" si="21"/>
        <v/>
      </c>
    </row>
    <row r="148" spans="2:22" ht="14.25" customHeight="1" x14ac:dyDescent="0.2">
      <c r="B148" s="126" t="str">
        <f>IF(OR(B147="",B147='Loan Terms'!$H$9*12),"",B147+1)</f>
        <v/>
      </c>
      <c r="C148" s="128" t="str">
        <f>IF(B148="","",IF('Loan Terms'!$H$15="30/360",30,D148-D147))</f>
        <v/>
      </c>
      <c r="D148" s="129" t="str">
        <f t="shared" si="17"/>
        <v/>
      </c>
      <c r="E148" s="129" t="str">
        <f>IF(B148="","",IF(B148&lt;='Loan Terms'!$G$10,"Yes","No"))</f>
        <v/>
      </c>
      <c r="F148" s="101" t="str">
        <f>IF(B148="","",IF('Loan Terms'!$C$13="Fixed",'Loan Terms'!$H$17,V148))</f>
        <v/>
      </c>
      <c r="G148" s="12" t="str">
        <f t="shared" si="18"/>
        <v/>
      </c>
      <c r="H148" s="12" t="str">
        <f>IF(G148="","",IF('Loan Terms'!$C$13="Fixed",(E148="Yes")*J148+(E148="No")*'Loan Terms'!$H$19,PMT(F148/12,'Loan Terms'!$G$11-B148+1,-G148)))</f>
        <v/>
      </c>
      <c r="I148" s="12" t="str">
        <f>IF(B148="","",IF(B148='Loan Terms'!$H$9*12,G148,H148-J148))</f>
        <v/>
      </c>
      <c r="J148" s="130" t="str">
        <f>IF(B148="","",IF('Loan Terms'!$H$15="Actual/365",F148*(C148/365),F148*(C148/360))*G148)</f>
        <v/>
      </c>
      <c r="K148" s="12" t="str">
        <f t="shared" si="15"/>
        <v/>
      </c>
      <c r="L148" s="130" t="str">
        <f t="shared" si="19"/>
        <v/>
      </c>
      <c r="N148" s="14" t="str">
        <f t="shared" si="20"/>
        <v/>
      </c>
      <c r="S148" s="217" t="str">
        <f t="shared" si="16"/>
        <v/>
      </c>
      <c r="T148" s="218" t="str">
        <f t="shared" si="14"/>
        <v/>
      </c>
      <c r="U148" s="219" t="str">
        <f>IF(S148="","",'Loan Terms'!$H$14)</f>
        <v/>
      </c>
      <c r="V148" s="220" t="str">
        <f t="shared" si="21"/>
        <v/>
      </c>
    </row>
    <row r="149" spans="2:22" ht="14.25" customHeight="1" x14ac:dyDescent="0.2">
      <c r="B149" s="126" t="str">
        <f>IF(OR(B148="",B148='Loan Terms'!$H$9*12),"",B148+1)</f>
        <v/>
      </c>
      <c r="C149" s="128" t="str">
        <f>IF(B149="","",IF('Loan Terms'!$H$15="30/360",30,D149-D148))</f>
        <v/>
      </c>
      <c r="D149" s="129" t="str">
        <f t="shared" si="17"/>
        <v/>
      </c>
      <c r="E149" s="129" t="str">
        <f>IF(B149="","",IF(B149&lt;='Loan Terms'!$G$10,"Yes","No"))</f>
        <v/>
      </c>
      <c r="F149" s="101" t="str">
        <f>IF(B149="","",IF('Loan Terms'!$C$13="Fixed",'Loan Terms'!$H$17,V149))</f>
        <v/>
      </c>
      <c r="G149" s="12" t="str">
        <f t="shared" si="18"/>
        <v/>
      </c>
      <c r="H149" s="12" t="str">
        <f>IF(G149="","",IF('Loan Terms'!$C$13="Fixed",(E149="Yes")*J149+(E149="No")*'Loan Terms'!$H$19,PMT(F149/12,'Loan Terms'!$G$11-B149+1,-G149)))</f>
        <v/>
      </c>
      <c r="I149" s="12" t="str">
        <f>IF(B149="","",IF(B149='Loan Terms'!$H$9*12,G149,H149-J149))</f>
        <v/>
      </c>
      <c r="J149" s="130" t="str">
        <f>IF(B149="","",IF('Loan Terms'!$H$15="Actual/365",F149*(C149/365),F149*(C149/360))*G149)</f>
        <v/>
      </c>
      <c r="K149" s="12" t="str">
        <f t="shared" si="15"/>
        <v/>
      </c>
      <c r="L149" s="130" t="str">
        <f t="shared" si="19"/>
        <v/>
      </c>
      <c r="N149" s="14" t="str">
        <f t="shared" si="20"/>
        <v/>
      </c>
      <c r="S149" s="217" t="str">
        <f t="shared" si="16"/>
        <v/>
      </c>
      <c r="T149" s="218" t="str">
        <f t="shared" si="14"/>
        <v/>
      </c>
      <c r="U149" s="219" t="str">
        <f>IF(S149="","",'Loan Terms'!$H$14)</f>
        <v/>
      </c>
      <c r="V149" s="220" t="str">
        <f t="shared" si="21"/>
        <v/>
      </c>
    </row>
    <row r="150" spans="2:22" ht="14.25" customHeight="1" x14ac:dyDescent="0.2">
      <c r="B150" s="126" t="str">
        <f>IF(OR(B149="",B149='Loan Terms'!$H$9*12),"",B149+1)</f>
        <v/>
      </c>
      <c r="C150" s="128" t="str">
        <f>IF(B150="","",IF('Loan Terms'!$H$15="30/360",30,D150-D149))</f>
        <v/>
      </c>
      <c r="D150" s="129" t="str">
        <f t="shared" si="17"/>
        <v/>
      </c>
      <c r="E150" s="129" t="str">
        <f>IF(B150="","",IF(B150&lt;='Loan Terms'!$G$10,"Yes","No"))</f>
        <v/>
      </c>
      <c r="F150" s="101" t="str">
        <f>IF(B150="","",IF('Loan Terms'!$C$13="Fixed",'Loan Terms'!$H$17,V150))</f>
        <v/>
      </c>
      <c r="G150" s="12" t="str">
        <f t="shared" si="18"/>
        <v/>
      </c>
      <c r="H150" s="12" t="str">
        <f>IF(G150="","",IF('Loan Terms'!$C$13="Fixed",(E150="Yes")*J150+(E150="No")*'Loan Terms'!$H$19,PMT(F150/12,'Loan Terms'!$G$11-B150+1,-G150)))</f>
        <v/>
      </c>
      <c r="I150" s="12" t="str">
        <f>IF(B150="","",IF(B150='Loan Terms'!$H$9*12,G150,H150-J150))</f>
        <v/>
      </c>
      <c r="J150" s="130" t="str">
        <f>IF(B150="","",IF('Loan Terms'!$H$15="Actual/365",F150*(C150/365),F150*(C150/360))*G150)</f>
        <v/>
      </c>
      <c r="K150" s="12" t="str">
        <f t="shared" si="15"/>
        <v/>
      </c>
      <c r="L150" s="130" t="str">
        <f t="shared" si="19"/>
        <v/>
      </c>
      <c r="N150" s="14" t="str">
        <f t="shared" si="20"/>
        <v/>
      </c>
      <c r="S150" s="217" t="str">
        <f t="shared" si="16"/>
        <v/>
      </c>
      <c r="T150" s="218" t="str">
        <f t="shared" si="14"/>
        <v/>
      </c>
      <c r="U150" s="219" t="str">
        <f>IF(S150="","",'Loan Terms'!$H$14)</f>
        <v/>
      </c>
      <c r="V150" s="220" t="str">
        <f t="shared" si="21"/>
        <v/>
      </c>
    </row>
    <row r="151" spans="2:22" ht="14.25" customHeight="1" x14ac:dyDescent="0.2">
      <c r="B151" s="126" t="str">
        <f>IF(OR(B150="",B150='Loan Terms'!$H$9*12),"",B150+1)</f>
        <v/>
      </c>
      <c r="C151" s="128" t="str">
        <f>IF(B151="","",IF('Loan Terms'!$H$15="30/360",30,D151-D150))</f>
        <v/>
      </c>
      <c r="D151" s="129" t="str">
        <f t="shared" si="17"/>
        <v/>
      </c>
      <c r="E151" s="129" t="str">
        <f>IF(B151="","",IF(B151&lt;='Loan Terms'!$G$10,"Yes","No"))</f>
        <v/>
      </c>
      <c r="F151" s="101" t="str">
        <f>IF(B151="","",IF('Loan Terms'!$C$13="Fixed",'Loan Terms'!$H$17,V151))</f>
        <v/>
      </c>
      <c r="G151" s="12" t="str">
        <f t="shared" si="18"/>
        <v/>
      </c>
      <c r="H151" s="12" t="str">
        <f>IF(G151="","",IF('Loan Terms'!$C$13="Fixed",(E151="Yes")*J151+(E151="No")*'Loan Terms'!$H$19,PMT(F151/12,'Loan Terms'!$G$11-B151+1,-G151)))</f>
        <v/>
      </c>
      <c r="I151" s="12" t="str">
        <f>IF(B151="","",IF(B151='Loan Terms'!$H$9*12,G151,H151-J151))</f>
        <v/>
      </c>
      <c r="J151" s="130" t="str">
        <f>IF(B151="","",IF('Loan Terms'!$H$15="Actual/365",F151*(C151/365),F151*(C151/360))*G151)</f>
        <v/>
      </c>
      <c r="K151" s="12" t="str">
        <f t="shared" si="15"/>
        <v/>
      </c>
      <c r="L151" s="130" t="str">
        <f t="shared" si="19"/>
        <v/>
      </c>
      <c r="N151" s="14" t="str">
        <f t="shared" si="20"/>
        <v/>
      </c>
      <c r="S151" s="217" t="str">
        <f t="shared" si="16"/>
        <v/>
      </c>
      <c r="T151" s="218" t="str">
        <f t="shared" si="14"/>
        <v/>
      </c>
      <c r="U151" s="219" t="str">
        <f>IF(S151="","",'Loan Terms'!$H$14)</f>
        <v/>
      </c>
      <c r="V151" s="220" t="str">
        <f t="shared" si="21"/>
        <v/>
      </c>
    </row>
    <row r="152" spans="2:22" ht="14.25" customHeight="1" x14ac:dyDescent="0.2">
      <c r="B152" s="126" t="str">
        <f>IF(OR(B151="",B151='Loan Terms'!$H$9*12),"",B151+1)</f>
        <v/>
      </c>
      <c r="C152" s="128" t="str">
        <f>IF(B152="","",IF('Loan Terms'!$H$15="30/360",30,D152-D151))</f>
        <v/>
      </c>
      <c r="D152" s="129" t="str">
        <f t="shared" si="17"/>
        <v/>
      </c>
      <c r="E152" s="129" t="str">
        <f>IF(B152="","",IF(B152&lt;='Loan Terms'!$G$10,"Yes","No"))</f>
        <v/>
      </c>
      <c r="F152" s="101" t="str">
        <f>IF(B152="","",IF('Loan Terms'!$C$13="Fixed",'Loan Terms'!$H$17,V152))</f>
        <v/>
      </c>
      <c r="G152" s="12" t="str">
        <f t="shared" si="18"/>
        <v/>
      </c>
      <c r="H152" s="12" t="str">
        <f>IF(G152="","",IF('Loan Terms'!$C$13="Fixed",(E152="Yes")*J152+(E152="No")*'Loan Terms'!$H$19,PMT(F152/12,'Loan Terms'!$G$11-B152+1,-G152)))</f>
        <v/>
      </c>
      <c r="I152" s="12" t="str">
        <f>IF(B152="","",IF(B152='Loan Terms'!$H$9*12,G152,H152-J152))</f>
        <v/>
      </c>
      <c r="J152" s="130" t="str">
        <f>IF(B152="","",IF('Loan Terms'!$H$15="Actual/365",F152*(C152/365),F152*(C152/360))*G152)</f>
        <v/>
      </c>
      <c r="K152" s="12" t="str">
        <f t="shared" si="15"/>
        <v/>
      </c>
      <c r="L152" s="130" t="str">
        <f t="shared" si="19"/>
        <v/>
      </c>
      <c r="N152" s="14" t="str">
        <f t="shared" si="20"/>
        <v/>
      </c>
      <c r="S152" s="217" t="str">
        <f t="shared" si="16"/>
        <v/>
      </c>
      <c r="T152" s="218" t="str">
        <f t="shared" si="14"/>
        <v/>
      </c>
      <c r="U152" s="219" t="str">
        <f>IF(S152="","",'Loan Terms'!$H$14)</f>
        <v/>
      </c>
      <c r="V152" s="220" t="str">
        <f t="shared" si="21"/>
        <v/>
      </c>
    </row>
    <row r="153" spans="2:22" ht="14.25" customHeight="1" x14ac:dyDescent="0.2">
      <c r="B153" s="126" t="str">
        <f>IF(OR(B152="",B152='Loan Terms'!$H$9*12),"",B152+1)</f>
        <v/>
      </c>
      <c r="C153" s="128" t="str">
        <f>IF(B153="","",IF('Loan Terms'!$H$15="30/360",30,D153-D152))</f>
        <v/>
      </c>
      <c r="D153" s="129" t="str">
        <f t="shared" si="17"/>
        <v/>
      </c>
      <c r="E153" s="129" t="str">
        <f>IF(B153="","",IF(B153&lt;='Loan Terms'!$G$10,"Yes","No"))</f>
        <v/>
      </c>
      <c r="F153" s="101" t="str">
        <f>IF(B153="","",IF('Loan Terms'!$C$13="Fixed",'Loan Terms'!$H$17,V153))</f>
        <v/>
      </c>
      <c r="G153" s="12" t="str">
        <f t="shared" si="18"/>
        <v/>
      </c>
      <c r="H153" s="12" t="str">
        <f>IF(G153="","",IF('Loan Terms'!$C$13="Fixed",(E153="Yes")*J153+(E153="No")*'Loan Terms'!$H$19,PMT(F153/12,'Loan Terms'!$G$11-B153+1,-G153)))</f>
        <v/>
      </c>
      <c r="I153" s="12" t="str">
        <f>IF(B153="","",IF(B153='Loan Terms'!$H$9*12,G153,H153-J153))</f>
        <v/>
      </c>
      <c r="J153" s="130" t="str">
        <f>IF(B153="","",IF('Loan Terms'!$H$15="Actual/365",F153*(C153/365),F153*(C153/360))*G153)</f>
        <v/>
      </c>
      <c r="K153" s="12" t="str">
        <f t="shared" si="15"/>
        <v/>
      </c>
      <c r="L153" s="130" t="str">
        <f t="shared" si="19"/>
        <v/>
      </c>
      <c r="N153" s="14" t="str">
        <f t="shared" si="20"/>
        <v/>
      </c>
      <c r="S153" s="217" t="str">
        <f t="shared" si="16"/>
        <v/>
      </c>
      <c r="T153" s="218" t="str">
        <f t="shared" si="14"/>
        <v/>
      </c>
      <c r="U153" s="219" t="str">
        <f>IF(S153="","",'Loan Terms'!$H$14)</f>
        <v/>
      </c>
      <c r="V153" s="220" t="str">
        <f t="shared" si="21"/>
        <v/>
      </c>
    </row>
    <row r="154" spans="2:22" ht="14.25" customHeight="1" x14ac:dyDescent="0.2">
      <c r="B154" s="126" t="str">
        <f>IF(OR(B153="",B153='Loan Terms'!$H$9*12),"",B153+1)</f>
        <v/>
      </c>
      <c r="C154" s="128" t="str">
        <f>IF(B154="","",IF('Loan Terms'!$H$15="30/360",30,D154-D153))</f>
        <v/>
      </c>
      <c r="D154" s="129" t="str">
        <f t="shared" si="17"/>
        <v/>
      </c>
      <c r="E154" s="129" t="str">
        <f>IF(B154="","",IF(B154&lt;='Loan Terms'!$G$10,"Yes","No"))</f>
        <v/>
      </c>
      <c r="F154" s="101" t="str">
        <f>IF(B154="","",IF('Loan Terms'!$C$13="Fixed",'Loan Terms'!$H$17,V154))</f>
        <v/>
      </c>
      <c r="G154" s="12" t="str">
        <f t="shared" si="18"/>
        <v/>
      </c>
      <c r="H154" s="12" t="str">
        <f>IF(G154="","",IF('Loan Terms'!$C$13="Fixed",(E154="Yes")*J154+(E154="No")*'Loan Terms'!$H$19,PMT(F154/12,'Loan Terms'!$G$11-B154+1,-G154)))</f>
        <v/>
      </c>
      <c r="I154" s="12" t="str">
        <f>IF(B154="","",IF(B154='Loan Terms'!$H$9*12,G154,H154-J154))</f>
        <v/>
      </c>
      <c r="J154" s="130" t="str">
        <f>IF(B154="","",IF('Loan Terms'!$H$15="Actual/365",F154*(C154/365),F154*(C154/360))*G154)</f>
        <v/>
      </c>
      <c r="K154" s="12" t="str">
        <f t="shared" si="15"/>
        <v/>
      </c>
      <c r="L154" s="130" t="str">
        <f t="shared" si="19"/>
        <v/>
      </c>
      <c r="N154" s="14" t="str">
        <f t="shared" si="20"/>
        <v/>
      </c>
      <c r="S154" s="217" t="str">
        <f t="shared" si="16"/>
        <v/>
      </c>
      <c r="T154" s="218" t="str">
        <f t="shared" si="14"/>
        <v/>
      </c>
      <c r="U154" s="219" t="str">
        <f>IF(S154="","",'Loan Terms'!$H$14)</f>
        <v/>
      </c>
      <c r="V154" s="220" t="str">
        <f t="shared" si="21"/>
        <v/>
      </c>
    </row>
    <row r="155" spans="2:22" ht="14.25" customHeight="1" x14ac:dyDescent="0.2">
      <c r="B155" s="126" t="str">
        <f>IF(OR(B154="",B154='Loan Terms'!$H$9*12),"",B154+1)</f>
        <v/>
      </c>
      <c r="C155" s="128" t="str">
        <f>IF(B155="","",IF('Loan Terms'!$H$15="30/360",30,D155-D154))</f>
        <v/>
      </c>
      <c r="D155" s="129" t="str">
        <f t="shared" si="17"/>
        <v/>
      </c>
      <c r="E155" s="129" t="str">
        <f>IF(B155="","",IF(B155&lt;='Loan Terms'!$G$10,"Yes","No"))</f>
        <v/>
      </c>
      <c r="F155" s="101" t="str">
        <f>IF(B155="","",IF('Loan Terms'!$C$13="Fixed",'Loan Terms'!$H$17,V155))</f>
        <v/>
      </c>
      <c r="G155" s="12" t="str">
        <f t="shared" si="18"/>
        <v/>
      </c>
      <c r="H155" s="12" t="str">
        <f>IF(G155="","",IF('Loan Terms'!$C$13="Fixed",(E155="Yes")*J155+(E155="No")*'Loan Terms'!$H$19,PMT(F155/12,'Loan Terms'!$G$11-B155+1,-G155)))</f>
        <v/>
      </c>
      <c r="I155" s="12" t="str">
        <f>IF(B155="","",IF(B155='Loan Terms'!$H$9*12,G155,H155-J155))</f>
        <v/>
      </c>
      <c r="J155" s="130" t="str">
        <f>IF(B155="","",IF('Loan Terms'!$H$15="Actual/365",F155*(C155/365),F155*(C155/360))*G155)</f>
        <v/>
      </c>
      <c r="K155" s="12" t="str">
        <f t="shared" si="15"/>
        <v/>
      </c>
      <c r="L155" s="130" t="str">
        <f t="shared" si="19"/>
        <v/>
      </c>
      <c r="N155" s="14" t="str">
        <f t="shared" si="20"/>
        <v/>
      </c>
      <c r="S155" s="217" t="str">
        <f t="shared" si="16"/>
        <v/>
      </c>
      <c r="T155" s="218" t="str">
        <f t="shared" si="14"/>
        <v/>
      </c>
      <c r="U155" s="219" t="str">
        <f>IF(S155="","",'Loan Terms'!$H$14)</f>
        <v/>
      </c>
      <c r="V155" s="220" t="str">
        <f t="shared" si="21"/>
        <v/>
      </c>
    </row>
    <row r="156" spans="2:22" ht="14.25" customHeight="1" x14ac:dyDescent="0.2">
      <c r="B156" s="126" t="str">
        <f>IF(OR(B155="",B155='Loan Terms'!$H$9*12),"",B155+1)</f>
        <v/>
      </c>
      <c r="C156" s="128" t="str">
        <f>IF(B156="","",IF('Loan Terms'!$H$15="30/360",30,D156-D155))</f>
        <v/>
      </c>
      <c r="D156" s="129" t="str">
        <f t="shared" si="17"/>
        <v/>
      </c>
      <c r="E156" s="129" t="str">
        <f>IF(B156="","",IF(B156&lt;='Loan Terms'!$G$10,"Yes","No"))</f>
        <v/>
      </c>
      <c r="F156" s="101" t="str">
        <f>IF(B156="","",IF('Loan Terms'!$C$13="Fixed",'Loan Terms'!$H$17,V156))</f>
        <v/>
      </c>
      <c r="G156" s="12" t="str">
        <f t="shared" si="18"/>
        <v/>
      </c>
      <c r="H156" s="12" t="str">
        <f>IF(G156="","",IF('Loan Terms'!$C$13="Fixed",(E156="Yes")*J156+(E156="No")*'Loan Terms'!$H$19,PMT(F156/12,'Loan Terms'!$G$11-B156+1,-G156)))</f>
        <v/>
      </c>
      <c r="I156" s="12" t="str">
        <f>IF(B156="","",IF(B156='Loan Terms'!$H$9*12,G156,H156-J156))</f>
        <v/>
      </c>
      <c r="J156" s="130" t="str">
        <f>IF(B156="","",IF('Loan Terms'!$H$15="Actual/365",F156*(C156/365),F156*(C156/360))*G156)</f>
        <v/>
      </c>
      <c r="K156" s="12" t="str">
        <f t="shared" si="15"/>
        <v/>
      </c>
      <c r="L156" s="130" t="str">
        <f t="shared" si="19"/>
        <v/>
      </c>
      <c r="N156" s="14" t="str">
        <f t="shared" si="20"/>
        <v/>
      </c>
      <c r="S156" s="217" t="str">
        <f t="shared" si="16"/>
        <v/>
      </c>
      <c r="T156" s="218" t="str">
        <f t="shared" si="14"/>
        <v/>
      </c>
      <c r="U156" s="219" t="str">
        <f>IF(S156="","",'Loan Terms'!$H$14)</f>
        <v/>
      </c>
      <c r="V156" s="220" t="str">
        <f t="shared" si="21"/>
        <v/>
      </c>
    </row>
    <row r="157" spans="2:22" ht="14.25" customHeight="1" x14ac:dyDescent="0.2">
      <c r="B157" s="126" t="str">
        <f>IF(OR(B156="",B156='Loan Terms'!$H$9*12),"",B156+1)</f>
        <v/>
      </c>
      <c r="C157" s="128" t="str">
        <f>IF(B157="","",IF('Loan Terms'!$H$15="30/360",30,D157-D156))</f>
        <v/>
      </c>
      <c r="D157" s="129" t="str">
        <f t="shared" si="17"/>
        <v/>
      </c>
      <c r="E157" s="129" t="str">
        <f>IF(B157="","",IF(B157&lt;='Loan Terms'!$G$10,"Yes","No"))</f>
        <v/>
      </c>
      <c r="F157" s="101" t="str">
        <f>IF(B157="","",IF('Loan Terms'!$C$13="Fixed",'Loan Terms'!$H$17,V157))</f>
        <v/>
      </c>
      <c r="G157" s="12" t="str">
        <f t="shared" si="18"/>
        <v/>
      </c>
      <c r="H157" s="12" t="str">
        <f>IF(G157="","",IF('Loan Terms'!$C$13="Fixed",(E157="Yes")*J157+(E157="No")*'Loan Terms'!$H$19,PMT(F157/12,'Loan Terms'!$G$11-B157+1,-G157)))</f>
        <v/>
      </c>
      <c r="I157" s="12" t="str">
        <f>IF(B157="","",IF(B157='Loan Terms'!$H$9*12,G157,H157-J157))</f>
        <v/>
      </c>
      <c r="J157" s="130" t="str">
        <f>IF(B157="","",IF('Loan Terms'!$H$15="Actual/365",F157*(C157/365),F157*(C157/360))*G157)</f>
        <v/>
      </c>
      <c r="K157" s="12" t="str">
        <f t="shared" si="15"/>
        <v/>
      </c>
      <c r="L157" s="130" t="str">
        <f t="shared" si="19"/>
        <v/>
      </c>
      <c r="N157" s="14" t="str">
        <f t="shared" si="20"/>
        <v/>
      </c>
      <c r="S157" s="217" t="str">
        <f t="shared" si="16"/>
        <v/>
      </c>
      <c r="T157" s="218" t="str">
        <f t="shared" si="14"/>
        <v/>
      </c>
      <c r="U157" s="219" t="str">
        <f>IF(S157="","",'Loan Terms'!$H$14)</f>
        <v/>
      </c>
      <c r="V157" s="220" t="str">
        <f t="shared" si="21"/>
        <v/>
      </c>
    </row>
    <row r="158" spans="2:22" ht="14.25" customHeight="1" x14ac:dyDescent="0.2">
      <c r="B158" s="126" t="str">
        <f>IF(OR(B157="",B157='Loan Terms'!$H$9*12),"",B157+1)</f>
        <v/>
      </c>
      <c r="C158" s="128" t="str">
        <f>IF(B158="","",IF('Loan Terms'!$H$15="30/360",30,D158-D157))</f>
        <v/>
      </c>
      <c r="D158" s="129" t="str">
        <f t="shared" si="17"/>
        <v/>
      </c>
      <c r="E158" s="129" t="str">
        <f>IF(B158="","",IF(B158&lt;='Loan Terms'!$G$10,"Yes","No"))</f>
        <v/>
      </c>
      <c r="F158" s="101" t="str">
        <f>IF(B158="","",IF('Loan Terms'!$C$13="Fixed",'Loan Terms'!$H$17,V158))</f>
        <v/>
      </c>
      <c r="G158" s="12" t="str">
        <f t="shared" si="18"/>
        <v/>
      </c>
      <c r="H158" s="12" t="str">
        <f>IF(G158="","",IF('Loan Terms'!$C$13="Fixed",(E158="Yes")*J158+(E158="No")*'Loan Terms'!$H$19,PMT(F158/12,'Loan Terms'!$G$11-B158+1,-G158)))</f>
        <v/>
      </c>
      <c r="I158" s="12" t="str">
        <f>IF(B158="","",IF(B158='Loan Terms'!$H$9*12,G158,H158-J158))</f>
        <v/>
      </c>
      <c r="J158" s="130" t="str">
        <f>IF(B158="","",IF('Loan Terms'!$H$15="Actual/365",F158*(C158/365),F158*(C158/360))*G158)</f>
        <v/>
      </c>
      <c r="K158" s="12" t="str">
        <f t="shared" si="15"/>
        <v/>
      </c>
      <c r="L158" s="130" t="str">
        <f t="shared" si="19"/>
        <v/>
      </c>
      <c r="N158" s="14" t="str">
        <f t="shared" si="20"/>
        <v/>
      </c>
      <c r="S158" s="217" t="str">
        <f t="shared" si="16"/>
        <v/>
      </c>
      <c r="T158" s="218" t="str">
        <f t="shared" si="14"/>
        <v/>
      </c>
      <c r="U158" s="219" t="str">
        <f>IF(S158="","",'Loan Terms'!$H$14)</f>
        <v/>
      </c>
      <c r="V158" s="220" t="str">
        <f t="shared" si="21"/>
        <v/>
      </c>
    </row>
    <row r="159" spans="2:22" ht="14.25" customHeight="1" x14ac:dyDescent="0.2">
      <c r="B159" s="126" t="str">
        <f>IF(OR(B158="",B158='Loan Terms'!$H$9*12),"",B158+1)</f>
        <v/>
      </c>
      <c r="C159" s="128" t="str">
        <f>IF(B159="","",IF('Loan Terms'!$H$15="30/360",30,D159-D158))</f>
        <v/>
      </c>
      <c r="D159" s="129" t="str">
        <f t="shared" si="17"/>
        <v/>
      </c>
      <c r="E159" s="129" t="str">
        <f>IF(B159="","",IF(B159&lt;='Loan Terms'!$G$10,"Yes","No"))</f>
        <v/>
      </c>
      <c r="F159" s="101" t="str">
        <f>IF(B159="","",IF('Loan Terms'!$C$13="Fixed",'Loan Terms'!$H$17,V159))</f>
        <v/>
      </c>
      <c r="G159" s="12" t="str">
        <f t="shared" si="18"/>
        <v/>
      </c>
      <c r="H159" s="12" t="str">
        <f>IF(G159="","",IF('Loan Terms'!$C$13="Fixed",(E159="Yes")*J159+(E159="No")*'Loan Terms'!$H$19,PMT(F159/12,'Loan Terms'!$G$11-B159+1,-G159)))</f>
        <v/>
      </c>
      <c r="I159" s="12" t="str">
        <f>IF(B159="","",IF(B159='Loan Terms'!$H$9*12,G159,H159-J159))</f>
        <v/>
      </c>
      <c r="J159" s="130" t="str">
        <f>IF(B159="","",IF('Loan Terms'!$H$15="Actual/365",F159*(C159/365),F159*(C159/360))*G159)</f>
        <v/>
      </c>
      <c r="K159" s="12" t="str">
        <f t="shared" si="15"/>
        <v/>
      </c>
      <c r="L159" s="130" t="str">
        <f t="shared" si="19"/>
        <v/>
      </c>
      <c r="N159" s="14" t="str">
        <f t="shared" si="20"/>
        <v/>
      </c>
      <c r="S159" s="217" t="str">
        <f t="shared" si="16"/>
        <v/>
      </c>
      <c r="T159" s="218" t="str">
        <f t="shared" si="14"/>
        <v/>
      </c>
      <c r="U159" s="219" t="str">
        <f>IF(S159="","",'Loan Terms'!$H$14)</f>
        <v/>
      </c>
      <c r="V159" s="220" t="str">
        <f t="shared" si="21"/>
        <v/>
      </c>
    </row>
    <row r="160" spans="2:22" ht="14.25" customHeight="1" x14ac:dyDescent="0.2">
      <c r="B160" s="126" t="str">
        <f>IF(OR(B159="",B159='Loan Terms'!$H$9*12),"",B159+1)</f>
        <v/>
      </c>
      <c r="C160" s="128" t="str">
        <f>IF(B160="","",IF('Loan Terms'!$H$15="30/360",30,D160-D159))</f>
        <v/>
      </c>
      <c r="D160" s="129" t="str">
        <f t="shared" si="17"/>
        <v/>
      </c>
      <c r="E160" s="129" t="str">
        <f>IF(B160="","",IF(B160&lt;='Loan Terms'!$G$10,"Yes","No"))</f>
        <v/>
      </c>
      <c r="F160" s="101" t="str">
        <f>IF(B160="","",IF('Loan Terms'!$C$13="Fixed",'Loan Terms'!$H$17,V160))</f>
        <v/>
      </c>
      <c r="G160" s="12" t="str">
        <f t="shared" si="18"/>
        <v/>
      </c>
      <c r="H160" s="12" t="str">
        <f>IF(G160="","",IF('Loan Terms'!$C$13="Fixed",(E160="Yes")*J160+(E160="No")*'Loan Terms'!$H$19,PMT(F160/12,'Loan Terms'!$G$11-B160+1,-G160)))</f>
        <v/>
      </c>
      <c r="I160" s="12" t="str">
        <f>IF(B160="","",IF(B160='Loan Terms'!$H$9*12,G160,H160-J160))</f>
        <v/>
      </c>
      <c r="J160" s="130" t="str">
        <f>IF(B160="","",IF('Loan Terms'!$H$15="Actual/365",F160*(C160/365),F160*(C160/360))*G160)</f>
        <v/>
      </c>
      <c r="K160" s="12" t="str">
        <f t="shared" si="15"/>
        <v/>
      </c>
      <c r="L160" s="130" t="str">
        <f t="shared" si="19"/>
        <v/>
      </c>
      <c r="N160" s="14" t="str">
        <f t="shared" si="20"/>
        <v/>
      </c>
      <c r="S160" s="217" t="str">
        <f t="shared" si="16"/>
        <v/>
      </c>
      <c r="T160" s="218" t="str">
        <f t="shared" si="14"/>
        <v/>
      </c>
      <c r="U160" s="219" t="str">
        <f>IF(S160="","",'Loan Terms'!$H$14)</f>
        <v/>
      </c>
      <c r="V160" s="220" t="str">
        <f t="shared" si="21"/>
        <v/>
      </c>
    </row>
    <row r="161" spans="2:22" ht="14.25" customHeight="1" x14ac:dyDescent="0.2">
      <c r="B161" s="126" t="str">
        <f>IF(OR(B160="",B160='Loan Terms'!$H$9*12),"",B160+1)</f>
        <v/>
      </c>
      <c r="C161" s="128" t="str">
        <f>IF(B161="","",IF('Loan Terms'!$H$15="30/360",30,D161-D160))</f>
        <v/>
      </c>
      <c r="D161" s="129" t="str">
        <f t="shared" si="17"/>
        <v/>
      </c>
      <c r="E161" s="129" t="str">
        <f>IF(B161="","",IF(B161&lt;='Loan Terms'!$G$10,"Yes","No"))</f>
        <v/>
      </c>
      <c r="F161" s="101" t="str">
        <f>IF(B161="","",IF('Loan Terms'!$C$13="Fixed",'Loan Terms'!$H$17,V161))</f>
        <v/>
      </c>
      <c r="G161" s="12" t="str">
        <f t="shared" si="18"/>
        <v/>
      </c>
      <c r="H161" s="12" t="str">
        <f>IF(G161="","",IF('Loan Terms'!$C$13="Fixed",(E161="Yes")*J161+(E161="No")*'Loan Terms'!$H$19,PMT(F161/12,'Loan Terms'!$G$11-B161+1,-G161)))</f>
        <v/>
      </c>
      <c r="I161" s="12" t="str">
        <f>IF(B161="","",IF(B161='Loan Terms'!$H$9*12,G161,H161-J161))</f>
        <v/>
      </c>
      <c r="J161" s="130" t="str">
        <f>IF(B161="","",IF('Loan Terms'!$H$15="Actual/365",F161*(C161/365),F161*(C161/360))*G161)</f>
        <v/>
      </c>
      <c r="K161" s="12" t="str">
        <f t="shared" si="15"/>
        <v/>
      </c>
      <c r="L161" s="130" t="str">
        <f t="shared" si="19"/>
        <v/>
      </c>
      <c r="N161" s="14" t="str">
        <f t="shared" si="20"/>
        <v/>
      </c>
      <c r="S161" s="217" t="str">
        <f t="shared" si="16"/>
        <v/>
      </c>
      <c r="T161" s="218" t="str">
        <f t="shared" si="14"/>
        <v/>
      </c>
      <c r="U161" s="219" t="str">
        <f>IF(S161="","",'Loan Terms'!$H$14)</f>
        <v/>
      </c>
      <c r="V161" s="220" t="str">
        <f t="shared" si="21"/>
        <v/>
      </c>
    </row>
    <row r="162" spans="2:22" ht="14.25" customHeight="1" x14ac:dyDescent="0.2">
      <c r="B162" s="126" t="str">
        <f>IF(OR(B161="",B161='Loan Terms'!$H$9*12),"",B161+1)</f>
        <v/>
      </c>
      <c r="C162" s="128" t="str">
        <f>IF(B162="","",IF('Loan Terms'!$H$15="30/360",30,D162-D161))</f>
        <v/>
      </c>
      <c r="D162" s="129" t="str">
        <f t="shared" si="17"/>
        <v/>
      </c>
      <c r="E162" s="129" t="str">
        <f>IF(B162="","",IF(B162&lt;='Loan Terms'!$G$10,"Yes","No"))</f>
        <v/>
      </c>
      <c r="F162" s="101" t="str">
        <f>IF(B162="","",IF('Loan Terms'!$C$13="Fixed",'Loan Terms'!$H$17,V162))</f>
        <v/>
      </c>
      <c r="G162" s="12" t="str">
        <f t="shared" si="18"/>
        <v/>
      </c>
      <c r="H162" s="12" t="str">
        <f>IF(G162="","",IF('Loan Terms'!$C$13="Fixed",(E162="Yes")*J162+(E162="No")*'Loan Terms'!$H$19,PMT(F162/12,'Loan Terms'!$G$11-B162+1,-G162)))</f>
        <v/>
      </c>
      <c r="I162" s="12" t="str">
        <f>IF(B162="","",IF(B162='Loan Terms'!$H$9*12,G162,H162-J162))</f>
        <v/>
      </c>
      <c r="J162" s="130" t="str">
        <f>IF(B162="","",IF('Loan Terms'!$H$15="Actual/365",F162*(C162/365),F162*(C162/360))*G162)</f>
        <v/>
      </c>
      <c r="K162" s="12" t="str">
        <f t="shared" si="15"/>
        <v/>
      </c>
      <c r="L162" s="130" t="str">
        <f t="shared" si="19"/>
        <v/>
      </c>
      <c r="N162" s="14" t="str">
        <f t="shared" si="20"/>
        <v/>
      </c>
      <c r="S162" s="217" t="str">
        <f t="shared" si="16"/>
        <v/>
      </c>
      <c r="T162" s="218" t="str">
        <f t="shared" si="14"/>
        <v/>
      </c>
      <c r="U162" s="219" t="str">
        <f>IF(S162="","",'Loan Terms'!$H$14)</f>
        <v/>
      </c>
      <c r="V162" s="220" t="str">
        <f t="shared" si="21"/>
        <v/>
      </c>
    </row>
    <row r="163" spans="2:22" ht="14.25" customHeight="1" x14ac:dyDescent="0.2">
      <c r="B163" s="126" t="str">
        <f>IF(OR(B162="",B162='Loan Terms'!$H$9*12),"",B162+1)</f>
        <v/>
      </c>
      <c r="C163" s="128" t="str">
        <f>IF(B163="","",IF('Loan Terms'!$H$15="30/360",30,D163-D162))</f>
        <v/>
      </c>
      <c r="D163" s="129" t="str">
        <f t="shared" si="17"/>
        <v/>
      </c>
      <c r="E163" s="129" t="str">
        <f>IF(B163="","",IF(B163&lt;='Loan Terms'!$G$10,"Yes","No"))</f>
        <v/>
      </c>
      <c r="F163" s="101" t="str">
        <f>IF(B163="","",IF('Loan Terms'!$C$13="Fixed",'Loan Terms'!$H$17,V163))</f>
        <v/>
      </c>
      <c r="G163" s="12" t="str">
        <f t="shared" si="18"/>
        <v/>
      </c>
      <c r="H163" s="12" t="str">
        <f>IF(G163="","",IF('Loan Terms'!$C$13="Fixed",(E163="Yes")*J163+(E163="No")*'Loan Terms'!$H$19,PMT(F163/12,'Loan Terms'!$G$11-B163+1,-G163)))</f>
        <v/>
      </c>
      <c r="I163" s="12" t="str">
        <f>IF(B163="","",IF(B163='Loan Terms'!$H$9*12,G163,H163-J163))</f>
        <v/>
      </c>
      <c r="J163" s="130" t="str">
        <f>IF(B163="","",IF('Loan Terms'!$H$15="Actual/365",F163*(C163/365),F163*(C163/360))*G163)</f>
        <v/>
      </c>
      <c r="K163" s="12" t="str">
        <f t="shared" si="15"/>
        <v/>
      </c>
      <c r="L163" s="130" t="str">
        <f t="shared" si="19"/>
        <v/>
      </c>
      <c r="N163" s="14" t="str">
        <f t="shared" si="20"/>
        <v/>
      </c>
      <c r="S163" s="217" t="str">
        <f t="shared" si="16"/>
        <v/>
      </c>
      <c r="T163" s="218" t="str">
        <f t="shared" si="14"/>
        <v/>
      </c>
      <c r="U163" s="219" t="str">
        <f>IF(S163="","",'Loan Terms'!$H$14)</f>
        <v/>
      </c>
      <c r="V163" s="220" t="str">
        <f t="shared" si="21"/>
        <v/>
      </c>
    </row>
    <row r="164" spans="2:22" ht="14.25" customHeight="1" x14ac:dyDescent="0.2">
      <c r="B164" s="126" t="str">
        <f>IF(OR(B163="",B163='Loan Terms'!$H$9*12),"",B163+1)</f>
        <v/>
      </c>
      <c r="C164" s="128" t="str">
        <f>IF(B164="","",IF('Loan Terms'!$H$15="30/360",30,D164-D163))</f>
        <v/>
      </c>
      <c r="D164" s="129" t="str">
        <f t="shared" si="17"/>
        <v/>
      </c>
      <c r="E164" s="129" t="str">
        <f>IF(B164="","",IF(B164&lt;='Loan Terms'!$G$10,"Yes","No"))</f>
        <v/>
      </c>
      <c r="F164" s="101" t="str">
        <f>IF(B164="","",IF('Loan Terms'!$C$13="Fixed",'Loan Terms'!$H$17,V164))</f>
        <v/>
      </c>
      <c r="G164" s="12" t="str">
        <f t="shared" si="18"/>
        <v/>
      </c>
      <c r="H164" s="12" t="str">
        <f>IF(G164="","",IF('Loan Terms'!$C$13="Fixed",(E164="Yes")*J164+(E164="No")*'Loan Terms'!$H$19,PMT(F164/12,'Loan Terms'!$G$11-B164+1,-G164)))</f>
        <v/>
      </c>
      <c r="I164" s="12" t="str">
        <f>IF(B164="","",IF(B164='Loan Terms'!$H$9*12,G164,H164-J164))</f>
        <v/>
      </c>
      <c r="J164" s="130" t="str">
        <f>IF(B164="","",IF('Loan Terms'!$H$15="Actual/365",F164*(C164/365),F164*(C164/360))*G164)</f>
        <v/>
      </c>
      <c r="K164" s="12" t="str">
        <f t="shared" si="15"/>
        <v/>
      </c>
      <c r="L164" s="130" t="str">
        <f t="shared" si="19"/>
        <v/>
      </c>
      <c r="N164" s="14" t="str">
        <f t="shared" si="20"/>
        <v/>
      </c>
      <c r="S164" s="217" t="str">
        <f t="shared" si="16"/>
        <v/>
      </c>
      <c r="T164" s="218" t="str">
        <f t="shared" si="14"/>
        <v/>
      </c>
      <c r="U164" s="219" t="str">
        <f>IF(S164="","",'Loan Terms'!$H$14)</f>
        <v/>
      </c>
      <c r="V164" s="220" t="str">
        <f t="shared" si="21"/>
        <v/>
      </c>
    </row>
    <row r="165" spans="2:22" ht="14.25" customHeight="1" x14ac:dyDescent="0.2">
      <c r="B165" s="126" t="str">
        <f>IF(OR(B164="",B164='Loan Terms'!$H$9*12),"",B164+1)</f>
        <v/>
      </c>
      <c r="C165" s="128" t="str">
        <f>IF(B165="","",IF('Loan Terms'!$H$15="30/360",30,D165-D164))</f>
        <v/>
      </c>
      <c r="D165" s="129" t="str">
        <f t="shared" si="17"/>
        <v/>
      </c>
      <c r="E165" s="129" t="str">
        <f>IF(B165="","",IF(B165&lt;='Loan Terms'!$G$10,"Yes","No"))</f>
        <v/>
      </c>
      <c r="F165" s="101" t="str">
        <f>IF(B165="","",IF('Loan Terms'!$C$13="Fixed",'Loan Terms'!$H$17,V165))</f>
        <v/>
      </c>
      <c r="G165" s="12" t="str">
        <f t="shared" si="18"/>
        <v/>
      </c>
      <c r="H165" s="12" t="str">
        <f>IF(G165="","",IF('Loan Terms'!$C$13="Fixed",(E165="Yes")*J165+(E165="No")*'Loan Terms'!$H$19,PMT(F165/12,'Loan Terms'!$G$11-B165+1,-G165)))</f>
        <v/>
      </c>
      <c r="I165" s="12" t="str">
        <f>IF(B165="","",IF(B165='Loan Terms'!$H$9*12,G165,H165-J165))</f>
        <v/>
      </c>
      <c r="J165" s="130" t="str">
        <f>IF(B165="","",IF('Loan Terms'!$H$15="Actual/365",F165*(C165/365),F165*(C165/360))*G165)</f>
        <v/>
      </c>
      <c r="K165" s="12" t="str">
        <f t="shared" si="15"/>
        <v/>
      </c>
      <c r="L165" s="130" t="str">
        <f t="shared" si="19"/>
        <v/>
      </c>
      <c r="N165" s="14" t="str">
        <f t="shared" si="20"/>
        <v/>
      </c>
      <c r="S165" s="217" t="str">
        <f t="shared" si="16"/>
        <v/>
      </c>
      <c r="T165" s="218" t="str">
        <f t="shared" si="14"/>
        <v/>
      </c>
      <c r="U165" s="219" t="str">
        <f>IF(S165="","",'Loan Terms'!$H$14)</f>
        <v/>
      </c>
      <c r="V165" s="220" t="str">
        <f t="shared" si="21"/>
        <v/>
      </c>
    </row>
    <row r="166" spans="2:22" ht="14.25" customHeight="1" x14ac:dyDescent="0.2">
      <c r="B166" s="126" t="str">
        <f>IF(OR(B165="",B165='Loan Terms'!$H$9*12),"",B165+1)</f>
        <v/>
      </c>
      <c r="C166" s="128" t="str">
        <f>IF(B166="","",IF('Loan Terms'!$H$15="30/360",30,D166-D165))</f>
        <v/>
      </c>
      <c r="D166" s="129" t="str">
        <f t="shared" si="17"/>
        <v/>
      </c>
      <c r="E166" s="129" t="str">
        <f>IF(B166="","",IF(B166&lt;='Loan Terms'!$G$10,"Yes","No"))</f>
        <v/>
      </c>
      <c r="F166" s="101" t="str">
        <f>IF(B166="","",IF('Loan Terms'!$C$13="Fixed",'Loan Terms'!$H$17,V166))</f>
        <v/>
      </c>
      <c r="G166" s="12" t="str">
        <f t="shared" si="18"/>
        <v/>
      </c>
      <c r="H166" s="12" t="str">
        <f>IF(G166="","",IF('Loan Terms'!$C$13="Fixed",(E166="Yes")*J166+(E166="No")*'Loan Terms'!$H$19,PMT(F166/12,'Loan Terms'!$G$11-B166+1,-G166)))</f>
        <v/>
      </c>
      <c r="I166" s="12" t="str">
        <f>IF(B166="","",IF(B166='Loan Terms'!$H$9*12,G166,H166-J166))</f>
        <v/>
      </c>
      <c r="J166" s="130" t="str">
        <f>IF(B166="","",IF('Loan Terms'!$H$15="Actual/365",F166*(C166/365),F166*(C166/360))*G166)</f>
        <v/>
      </c>
      <c r="K166" s="12" t="str">
        <f t="shared" si="15"/>
        <v/>
      </c>
      <c r="L166" s="130" t="str">
        <f t="shared" si="19"/>
        <v/>
      </c>
      <c r="N166" s="14" t="str">
        <f t="shared" si="20"/>
        <v/>
      </c>
      <c r="S166" s="217" t="str">
        <f t="shared" si="16"/>
        <v/>
      </c>
      <c r="T166" s="218" t="str">
        <f t="shared" si="14"/>
        <v/>
      </c>
      <c r="U166" s="219" t="str">
        <f>IF(S166="","",'Loan Terms'!$H$14)</f>
        <v/>
      </c>
      <c r="V166" s="220" t="str">
        <f t="shared" si="21"/>
        <v/>
      </c>
    </row>
    <row r="167" spans="2:22" ht="14.25" customHeight="1" x14ac:dyDescent="0.2">
      <c r="B167" s="126" t="str">
        <f>IF(OR(B166="",B166='Loan Terms'!$H$9*12),"",B166+1)</f>
        <v/>
      </c>
      <c r="C167" s="128" t="str">
        <f>IF(B167="","",IF('Loan Terms'!$H$15="30/360",30,D167-D166))</f>
        <v/>
      </c>
      <c r="D167" s="129" t="str">
        <f t="shared" si="17"/>
        <v/>
      </c>
      <c r="E167" s="129" t="str">
        <f>IF(B167="","",IF(B167&lt;='Loan Terms'!$G$10,"Yes","No"))</f>
        <v/>
      </c>
      <c r="F167" s="101" t="str">
        <f>IF(B167="","",IF('Loan Terms'!$C$13="Fixed",'Loan Terms'!$H$17,V167))</f>
        <v/>
      </c>
      <c r="G167" s="12" t="str">
        <f t="shared" si="18"/>
        <v/>
      </c>
      <c r="H167" s="12" t="str">
        <f>IF(G167="","",IF('Loan Terms'!$C$13="Fixed",(E167="Yes")*J167+(E167="No")*'Loan Terms'!$H$19,PMT(F167/12,'Loan Terms'!$G$11-B167+1,-G167)))</f>
        <v/>
      </c>
      <c r="I167" s="12" t="str">
        <f>IF(B167="","",IF(B167='Loan Terms'!$H$9*12,G167,H167-J167))</f>
        <v/>
      </c>
      <c r="J167" s="130" t="str">
        <f>IF(B167="","",IF('Loan Terms'!$H$15="Actual/365",F167*(C167/365),F167*(C167/360))*G167)</f>
        <v/>
      </c>
      <c r="K167" s="12" t="str">
        <f t="shared" si="15"/>
        <v/>
      </c>
      <c r="L167" s="130" t="str">
        <f t="shared" si="19"/>
        <v/>
      </c>
      <c r="N167" s="14" t="str">
        <f t="shared" si="20"/>
        <v/>
      </c>
      <c r="S167" s="217" t="str">
        <f t="shared" si="16"/>
        <v/>
      </c>
      <c r="T167" s="218" t="str">
        <f t="shared" si="14"/>
        <v/>
      </c>
      <c r="U167" s="219" t="str">
        <f>IF(S167="","",'Loan Terms'!$H$14)</f>
        <v/>
      </c>
      <c r="V167" s="220" t="str">
        <f t="shared" si="21"/>
        <v/>
      </c>
    </row>
    <row r="168" spans="2:22" ht="14.25" customHeight="1" x14ac:dyDescent="0.2">
      <c r="B168" s="126" t="str">
        <f>IF(OR(B167="",B167='Loan Terms'!$H$9*12),"",B167+1)</f>
        <v/>
      </c>
      <c r="C168" s="128" t="str">
        <f>IF(B168="","",IF('Loan Terms'!$H$15="30/360",30,D168-D167))</f>
        <v/>
      </c>
      <c r="D168" s="129" t="str">
        <f t="shared" si="17"/>
        <v/>
      </c>
      <c r="E168" s="129" t="str">
        <f>IF(B168="","",IF(B168&lt;='Loan Terms'!$G$10,"Yes","No"))</f>
        <v/>
      </c>
      <c r="F168" s="101" t="str">
        <f>IF(B168="","",IF('Loan Terms'!$C$13="Fixed",'Loan Terms'!$H$17,V168))</f>
        <v/>
      </c>
      <c r="G168" s="12" t="str">
        <f t="shared" si="18"/>
        <v/>
      </c>
      <c r="H168" s="12" t="str">
        <f>IF(G168="","",IF('Loan Terms'!$C$13="Fixed",(E168="Yes")*J168+(E168="No")*'Loan Terms'!$H$19,PMT(F168/12,'Loan Terms'!$G$11-B168+1,-G168)))</f>
        <v/>
      </c>
      <c r="I168" s="12" t="str">
        <f>IF(B168="","",IF(B168='Loan Terms'!$H$9*12,G168,H168-J168))</f>
        <v/>
      </c>
      <c r="J168" s="130" t="str">
        <f>IF(B168="","",IF('Loan Terms'!$H$15="Actual/365",F168*(C168/365),F168*(C168/360))*G168)</f>
        <v/>
      </c>
      <c r="K168" s="12" t="str">
        <f t="shared" si="15"/>
        <v/>
      </c>
      <c r="L168" s="130" t="str">
        <f t="shared" si="19"/>
        <v/>
      </c>
      <c r="N168" s="14" t="str">
        <f t="shared" si="20"/>
        <v/>
      </c>
      <c r="S168" s="217" t="str">
        <f t="shared" si="16"/>
        <v/>
      </c>
      <c r="T168" s="218" t="str">
        <f t="shared" si="14"/>
        <v/>
      </c>
      <c r="U168" s="219" t="str">
        <f>IF(S168="","",'Loan Terms'!$H$14)</f>
        <v/>
      </c>
      <c r="V168" s="220" t="str">
        <f t="shared" si="21"/>
        <v/>
      </c>
    </row>
    <row r="169" spans="2:22" ht="14.25" customHeight="1" x14ac:dyDescent="0.2">
      <c r="B169" s="126" t="str">
        <f>IF(OR(B168="",B168='Loan Terms'!$H$9*12),"",B168+1)</f>
        <v/>
      </c>
      <c r="C169" s="128" t="str">
        <f>IF(B169="","",IF('Loan Terms'!$H$15="30/360",30,D169-D168))</f>
        <v/>
      </c>
      <c r="D169" s="129" t="str">
        <f t="shared" si="17"/>
        <v/>
      </c>
      <c r="E169" s="129" t="str">
        <f>IF(B169="","",IF(B169&lt;='Loan Terms'!$G$10,"Yes","No"))</f>
        <v/>
      </c>
      <c r="F169" s="101" t="str">
        <f>IF(B169="","",IF('Loan Terms'!$C$13="Fixed",'Loan Terms'!$H$17,V169))</f>
        <v/>
      </c>
      <c r="G169" s="12" t="str">
        <f t="shared" si="18"/>
        <v/>
      </c>
      <c r="H169" s="12" t="str">
        <f>IF(G169="","",IF('Loan Terms'!$C$13="Fixed",(E169="Yes")*J169+(E169="No")*'Loan Terms'!$H$19,PMT(F169/12,'Loan Terms'!$G$11-B169+1,-G169)))</f>
        <v/>
      </c>
      <c r="I169" s="12" t="str">
        <f>IF(B169="","",IF(B169='Loan Terms'!$H$9*12,G169,H169-J169))</f>
        <v/>
      </c>
      <c r="J169" s="130" t="str">
        <f>IF(B169="","",IF('Loan Terms'!$H$15="Actual/365",F169*(C169/365),F169*(C169/360))*G169)</f>
        <v/>
      </c>
      <c r="K169" s="12" t="str">
        <f t="shared" si="15"/>
        <v/>
      </c>
      <c r="L169" s="130" t="str">
        <f t="shared" si="19"/>
        <v/>
      </c>
      <c r="N169" s="14" t="str">
        <f t="shared" si="20"/>
        <v/>
      </c>
      <c r="S169" s="217" t="str">
        <f t="shared" si="16"/>
        <v/>
      </c>
      <c r="T169" s="218" t="str">
        <f t="shared" si="14"/>
        <v/>
      </c>
      <c r="U169" s="219" t="str">
        <f>IF(S169="","",'Loan Terms'!$H$14)</f>
        <v/>
      </c>
      <c r="V169" s="220" t="str">
        <f t="shared" si="21"/>
        <v/>
      </c>
    </row>
    <row r="170" spans="2:22" ht="14.25" customHeight="1" x14ac:dyDescent="0.2">
      <c r="B170" s="126" t="str">
        <f>IF(OR(B169="",B169='Loan Terms'!$H$9*12),"",B169+1)</f>
        <v/>
      </c>
      <c r="C170" s="128" t="str">
        <f>IF(B170="","",IF('Loan Terms'!$H$15="30/360",30,D170-D169))</f>
        <v/>
      </c>
      <c r="D170" s="129" t="str">
        <f t="shared" si="17"/>
        <v/>
      </c>
      <c r="E170" s="129" t="str">
        <f>IF(B170="","",IF(B170&lt;='Loan Terms'!$G$10,"Yes","No"))</f>
        <v/>
      </c>
      <c r="F170" s="101" t="str">
        <f>IF(B170="","",IF('Loan Terms'!$C$13="Fixed",'Loan Terms'!$H$17,V170))</f>
        <v/>
      </c>
      <c r="G170" s="12" t="str">
        <f t="shared" si="18"/>
        <v/>
      </c>
      <c r="H170" s="12" t="str">
        <f>IF(G170="","",IF('Loan Terms'!$C$13="Fixed",(E170="Yes")*J170+(E170="No")*'Loan Terms'!$H$19,PMT(F170/12,'Loan Terms'!$G$11-B170+1,-G170)))</f>
        <v/>
      </c>
      <c r="I170" s="12" t="str">
        <f>IF(B170="","",IF(B170='Loan Terms'!$H$9*12,G170,H170-J170))</f>
        <v/>
      </c>
      <c r="J170" s="130" t="str">
        <f>IF(B170="","",IF('Loan Terms'!$H$15="Actual/365",F170*(C170/365),F170*(C170/360))*G170)</f>
        <v/>
      </c>
      <c r="K170" s="12" t="str">
        <f t="shared" si="15"/>
        <v/>
      </c>
      <c r="L170" s="130" t="str">
        <f t="shared" si="19"/>
        <v/>
      </c>
      <c r="N170" s="14" t="str">
        <f t="shared" si="20"/>
        <v/>
      </c>
      <c r="S170" s="217" t="str">
        <f t="shared" si="16"/>
        <v/>
      </c>
      <c r="T170" s="218" t="str">
        <f t="shared" si="14"/>
        <v/>
      </c>
      <c r="U170" s="219" t="str">
        <f>IF(S170="","",'Loan Terms'!$H$14)</f>
        <v/>
      </c>
      <c r="V170" s="220" t="str">
        <f t="shared" si="21"/>
        <v/>
      </c>
    </row>
    <row r="171" spans="2:22" ht="14.25" customHeight="1" x14ac:dyDescent="0.2">
      <c r="B171" s="126" t="str">
        <f>IF(OR(B170="",B170='Loan Terms'!$H$9*12),"",B170+1)</f>
        <v/>
      </c>
      <c r="C171" s="128" t="str">
        <f>IF(B171="","",IF('Loan Terms'!$H$15="30/360",30,D171-D170))</f>
        <v/>
      </c>
      <c r="D171" s="129" t="str">
        <f t="shared" si="17"/>
        <v/>
      </c>
      <c r="E171" s="129" t="str">
        <f>IF(B171="","",IF(B171&lt;='Loan Terms'!$G$10,"Yes","No"))</f>
        <v/>
      </c>
      <c r="F171" s="101" t="str">
        <f>IF(B171="","",IF('Loan Terms'!$C$13="Fixed",'Loan Terms'!$H$17,V171))</f>
        <v/>
      </c>
      <c r="G171" s="12" t="str">
        <f t="shared" si="18"/>
        <v/>
      </c>
      <c r="H171" s="12" t="str">
        <f>IF(G171="","",IF('Loan Terms'!$C$13="Fixed",(E171="Yes")*J171+(E171="No")*'Loan Terms'!$H$19,PMT(F171/12,'Loan Terms'!$G$11-B171+1,-G171)))</f>
        <v/>
      </c>
      <c r="I171" s="12" t="str">
        <f>IF(B171="","",IF(B171='Loan Terms'!$H$9*12,G171,H171-J171))</f>
        <v/>
      </c>
      <c r="J171" s="130" t="str">
        <f>IF(B171="","",IF('Loan Terms'!$H$15="Actual/365",F171*(C171/365),F171*(C171/360))*G171)</f>
        <v/>
      </c>
      <c r="K171" s="12" t="str">
        <f t="shared" si="15"/>
        <v/>
      </c>
      <c r="L171" s="130" t="str">
        <f t="shared" si="19"/>
        <v/>
      </c>
      <c r="N171" s="14" t="str">
        <f t="shared" si="20"/>
        <v/>
      </c>
      <c r="S171" s="217" t="str">
        <f t="shared" si="16"/>
        <v/>
      </c>
      <c r="T171" s="218" t="str">
        <f t="shared" si="14"/>
        <v/>
      </c>
      <c r="U171" s="219" t="str">
        <f>IF(S171="","",'Loan Terms'!$H$14)</f>
        <v/>
      </c>
      <c r="V171" s="220" t="str">
        <f t="shared" si="21"/>
        <v/>
      </c>
    </row>
    <row r="172" spans="2:22" ht="14.25" customHeight="1" x14ac:dyDescent="0.2">
      <c r="B172" s="126" t="str">
        <f>IF(OR(B171="",B171='Loan Terms'!$H$9*12),"",B171+1)</f>
        <v/>
      </c>
      <c r="C172" s="128" t="str">
        <f>IF(B172="","",IF('Loan Terms'!$H$15="30/360",30,D172-D171))</f>
        <v/>
      </c>
      <c r="D172" s="129" t="str">
        <f t="shared" si="17"/>
        <v/>
      </c>
      <c r="E172" s="129" t="str">
        <f>IF(B172="","",IF(B172&lt;='Loan Terms'!$G$10,"Yes","No"))</f>
        <v/>
      </c>
      <c r="F172" s="101" t="str">
        <f>IF(B172="","",IF('Loan Terms'!$C$13="Fixed",'Loan Terms'!$H$17,V172))</f>
        <v/>
      </c>
      <c r="G172" s="12" t="str">
        <f t="shared" si="18"/>
        <v/>
      </c>
      <c r="H172" s="12" t="str">
        <f>IF(G172="","",IF('Loan Terms'!$C$13="Fixed",(E172="Yes")*J172+(E172="No")*'Loan Terms'!$H$19,PMT(F172/12,'Loan Terms'!$G$11-B172+1,-G172)))</f>
        <v/>
      </c>
      <c r="I172" s="12" t="str">
        <f>IF(B172="","",IF(B172='Loan Terms'!$H$9*12,G172,H172-J172))</f>
        <v/>
      </c>
      <c r="J172" s="130" t="str">
        <f>IF(B172="","",IF('Loan Terms'!$H$15="Actual/365",F172*(C172/365),F172*(C172/360))*G172)</f>
        <v/>
      </c>
      <c r="K172" s="12" t="str">
        <f t="shared" si="15"/>
        <v/>
      </c>
      <c r="L172" s="130" t="str">
        <f t="shared" si="19"/>
        <v/>
      </c>
      <c r="N172" s="14" t="str">
        <f t="shared" si="20"/>
        <v/>
      </c>
      <c r="S172" s="217" t="str">
        <f t="shared" si="16"/>
        <v/>
      </c>
      <c r="T172" s="218" t="str">
        <f t="shared" si="14"/>
        <v/>
      </c>
      <c r="U172" s="219" t="str">
        <f>IF(S172="","",'Loan Terms'!$H$14)</f>
        <v/>
      </c>
      <c r="V172" s="220" t="str">
        <f t="shared" si="21"/>
        <v/>
      </c>
    </row>
    <row r="173" spans="2:22" ht="14.25" customHeight="1" x14ac:dyDescent="0.2">
      <c r="B173" s="126" t="str">
        <f>IF(OR(B172="",B172='Loan Terms'!$H$9*12),"",B172+1)</f>
        <v/>
      </c>
      <c r="C173" s="128" t="str">
        <f>IF(B173="","",IF('Loan Terms'!$H$15="30/360",30,D173-D172))</f>
        <v/>
      </c>
      <c r="D173" s="129" t="str">
        <f t="shared" si="17"/>
        <v/>
      </c>
      <c r="E173" s="129" t="str">
        <f>IF(B173="","",IF(B173&lt;='Loan Terms'!$G$10,"Yes","No"))</f>
        <v/>
      </c>
      <c r="F173" s="101" t="str">
        <f>IF(B173="","",IF('Loan Terms'!$C$13="Fixed",'Loan Terms'!$H$17,V173))</f>
        <v/>
      </c>
      <c r="G173" s="12" t="str">
        <f t="shared" si="18"/>
        <v/>
      </c>
      <c r="H173" s="12" t="str">
        <f>IF(G173="","",IF('Loan Terms'!$C$13="Fixed",(E173="Yes")*J173+(E173="No")*'Loan Terms'!$H$19,PMT(F173/12,'Loan Terms'!$G$11-B173+1,-G173)))</f>
        <v/>
      </c>
      <c r="I173" s="12" t="str">
        <f>IF(B173="","",IF(B173='Loan Terms'!$H$9*12,G173,H173-J173))</f>
        <v/>
      </c>
      <c r="J173" s="130" t="str">
        <f>IF(B173="","",IF('Loan Terms'!$H$15="Actual/365",F173*(C173/365),F173*(C173/360))*G173)</f>
        <v/>
      </c>
      <c r="K173" s="12" t="str">
        <f t="shared" si="15"/>
        <v/>
      </c>
      <c r="L173" s="130" t="str">
        <f t="shared" si="19"/>
        <v/>
      </c>
      <c r="N173" s="14" t="str">
        <f t="shared" si="20"/>
        <v/>
      </c>
      <c r="S173" s="217" t="str">
        <f t="shared" si="16"/>
        <v/>
      </c>
      <c r="T173" s="218" t="str">
        <f t="shared" si="14"/>
        <v/>
      </c>
      <c r="U173" s="219" t="str">
        <f>IF(S173="","",'Loan Terms'!$H$14)</f>
        <v/>
      </c>
      <c r="V173" s="220" t="str">
        <f t="shared" si="21"/>
        <v/>
      </c>
    </row>
    <row r="174" spans="2:22" ht="14.25" customHeight="1" x14ac:dyDescent="0.2">
      <c r="B174" s="126" t="str">
        <f>IF(OR(B173="",B173='Loan Terms'!$H$9*12),"",B173+1)</f>
        <v/>
      </c>
      <c r="C174" s="128" t="str">
        <f>IF(B174="","",IF('Loan Terms'!$H$15="30/360",30,D174-D173))</f>
        <v/>
      </c>
      <c r="D174" s="129" t="str">
        <f t="shared" si="17"/>
        <v/>
      </c>
      <c r="E174" s="129" t="str">
        <f>IF(B174="","",IF(B174&lt;='Loan Terms'!$G$10,"Yes","No"))</f>
        <v/>
      </c>
      <c r="F174" s="101" t="str">
        <f>IF(B174="","",IF('Loan Terms'!$C$13="Fixed",'Loan Terms'!$H$17,V174))</f>
        <v/>
      </c>
      <c r="G174" s="12" t="str">
        <f t="shared" si="18"/>
        <v/>
      </c>
      <c r="H174" s="12" t="str">
        <f>IF(G174="","",IF('Loan Terms'!$C$13="Fixed",(E174="Yes")*J174+(E174="No")*'Loan Terms'!$H$19,PMT(F174/12,'Loan Terms'!$G$11-B174+1,-G174)))</f>
        <v/>
      </c>
      <c r="I174" s="12" t="str">
        <f>IF(B174="","",IF(B174='Loan Terms'!$H$9*12,G174,H174-J174))</f>
        <v/>
      </c>
      <c r="J174" s="130" t="str">
        <f>IF(B174="","",IF('Loan Terms'!$H$15="Actual/365",F174*(C174/365),F174*(C174/360))*G174)</f>
        <v/>
      </c>
      <c r="K174" s="12" t="str">
        <f t="shared" si="15"/>
        <v/>
      </c>
      <c r="L174" s="130" t="str">
        <f t="shared" si="19"/>
        <v/>
      </c>
      <c r="N174" s="14" t="str">
        <f t="shared" si="20"/>
        <v/>
      </c>
      <c r="S174" s="217" t="str">
        <f t="shared" si="16"/>
        <v/>
      </c>
      <c r="T174" s="218" t="str">
        <f t="shared" si="14"/>
        <v/>
      </c>
      <c r="U174" s="219" t="str">
        <f>IF(S174="","",'Loan Terms'!$H$14)</f>
        <v/>
      </c>
      <c r="V174" s="220" t="str">
        <f t="shared" si="21"/>
        <v/>
      </c>
    </row>
    <row r="175" spans="2:22" ht="14.25" customHeight="1" x14ac:dyDescent="0.2">
      <c r="B175" s="126" t="str">
        <f>IF(OR(B174="",B174='Loan Terms'!$H$9*12),"",B174+1)</f>
        <v/>
      </c>
      <c r="C175" s="128" t="str">
        <f>IF(B175="","",IF('Loan Terms'!$H$15="30/360",30,D175-D174))</f>
        <v/>
      </c>
      <c r="D175" s="129" t="str">
        <f t="shared" si="17"/>
        <v/>
      </c>
      <c r="E175" s="129" t="str">
        <f>IF(B175="","",IF(B175&lt;='Loan Terms'!$G$10,"Yes","No"))</f>
        <v/>
      </c>
      <c r="F175" s="101" t="str">
        <f>IF(B175="","",IF('Loan Terms'!$C$13="Fixed",'Loan Terms'!$H$17,V175))</f>
        <v/>
      </c>
      <c r="G175" s="12" t="str">
        <f t="shared" si="18"/>
        <v/>
      </c>
      <c r="H175" s="12" t="str">
        <f>IF(G175="","",IF('Loan Terms'!$C$13="Fixed",(E175="Yes")*J175+(E175="No")*'Loan Terms'!$H$19,PMT(F175/12,'Loan Terms'!$G$11-B175+1,-G175)))</f>
        <v/>
      </c>
      <c r="I175" s="12" t="str">
        <f>IF(B175="","",IF(B175='Loan Terms'!$H$9*12,G175,H175-J175))</f>
        <v/>
      </c>
      <c r="J175" s="130" t="str">
        <f>IF(B175="","",IF('Loan Terms'!$H$15="Actual/365",F175*(C175/365),F175*(C175/360))*G175)</f>
        <v/>
      </c>
      <c r="K175" s="12" t="str">
        <f t="shared" si="15"/>
        <v/>
      </c>
      <c r="L175" s="130" t="str">
        <f t="shared" si="19"/>
        <v/>
      </c>
      <c r="N175" s="14" t="str">
        <f t="shared" si="20"/>
        <v/>
      </c>
      <c r="S175" s="217" t="str">
        <f t="shared" si="16"/>
        <v/>
      </c>
      <c r="T175" s="218" t="str">
        <f t="shared" si="14"/>
        <v/>
      </c>
      <c r="U175" s="219" t="str">
        <f>IF(S175="","",'Loan Terms'!$H$14)</f>
        <v/>
      </c>
      <c r="V175" s="220" t="str">
        <f t="shared" si="21"/>
        <v/>
      </c>
    </row>
    <row r="176" spans="2:22" ht="14.25" customHeight="1" x14ac:dyDescent="0.2">
      <c r="B176" s="126" t="str">
        <f>IF(OR(B175="",B175='Loan Terms'!$H$9*12),"",B175+1)</f>
        <v/>
      </c>
      <c r="C176" s="128" t="str">
        <f>IF(B176="","",IF('Loan Terms'!$H$15="30/360",30,D176-D175))</f>
        <v/>
      </c>
      <c r="D176" s="129" t="str">
        <f t="shared" si="17"/>
        <v/>
      </c>
      <c r="E176" s="129" t="str">
        <f>IF(B176="","",IF(B176&lt;='Loan Terms'!$G$10,"Yes","No"))</f>
        <v/>
      </c>
      <c r="F176" s="101" t="str">
        <f>IF(B176="","",IF('Loan Terms'!$C$13="Fixed",'Loan Terms'!$H$17,V176))</f>
        <v/>
      </c>
      <c r="G176" s="12" t="str">
        <f t="shared" si="18"/>
        <v/>
      </c>
      <c r="H176" s="12" t="str">
        <f>IF(G176="","",IF('Loan Terms'!$C$13="Fixed",(E176="Yes")*J176+(E176="No")*'Loan Terms'!$H$19,PMT(F176/12,'Loan Terms'!$G$11-B176+1,-G176)))</f>
        <v/>
      </c>
      <c r="I176" s="12" t="str">
        <f>IF(B176="","",IF(B176='Loan Terms'!$H$9*12,G176,H176-J176))</f>
        <v/>
      </c>
      <c r="J176" s="130" t="str">
        <f>IF(B176="","",IF('Loan Terms'!$H$15="Actual/365",F176*(C176/365),F176*(C176/360))*G176)</f>
        <v/>
      </c>
      <c r="K176" s="12" t="str">
        <f t="shared" si="15"/>
        <v/>
      </c>
      <c r="L176" s="130" t="str">
        <f t="shared" si="19"/>
        <v/>
      </c>
      <c r="N176" s="14" t="str">
        <f t="shared" si="20"/>
        <v/>
      </c>
      <c r="S176" s="217" t="str">
        <f t="shared" si="16"/>
        <v/>
      </c>
      <c r="T176" s="218" t="str">
        <f t="shared" si="14"/>
        <v/>
      </c>
      <c r="U176" s="219" t="str">
        <f>IF(S176="","",'Loan Terms'!$H$14)</f>
        <v/>
      </c>
      <c r="V176" s="220" t="str">
        <f t="shared" si="21"/>
        <v/>
      </c>
    </row>
    <row r="177" spans="2:22" ht="14.25" customHeight="1" x14ac:dyDescent="0.2">
      <c r="B177" s="126" t="str">
        <f>IF(OR(B176="",B176='Loan Terms'!$H$9*12),"",B176+1)</f>
        <v/>
      </c>
      <c r="C177" s="128" t="str">
        <f>IF(B177="","",IF('Loan Terms'!$H$15="30/360",30,D177-D176))</f>
        <v/>
      </c>
      <c r="D177" s="129" t="str">
        <f t="shared" si="17"/>
        <v/>
      </c>
      <c r="E177" s="129" t="str">
        <f>IF(B177="","",IF(B177&lt;='Loan Terms'!$G$10,"Yes","No"))</f>
        <v/>
      </c>
      <c r="F177" s="101" t="str">
        <f>IF(B177="","",IF('Loan Terms'!$C$13="Fixed",'Loan Terms'!$H$17,V177))</f>
        <v/>
      </c>
      <c r="G177" s="12" t="str">
        <f t="shared" si="18"/>
        <v/>
      </c>
      <c r="H177" s="12" t="str">
        <f>IF(G177="","",IF('Loan Terms'!$C$13="Fixed",(E177="Yes")*J177+(E177="No")*'Loan Terms'!$H$19,PMT(F177/12,'Loan Terms'!$G$11-B177+1,-G177)))</f>
        <v/>
      </c>
      <c r="I177" s="12" t="str">
        <f>IF(B177="","",IF(B177='Loan Terms'!$H$9*12,G177,H177-J177))</f>
        <v/>
      </c>
      <c r="J177" s="130" t="str">
        <f>IF(B177="","",IF('Loan Terms'!$H$15="Actual/365",F177*(C177/365),F177*(C177/360))*G177)</f>
        <v/>
      </c>
      <c r="K177" s="12" t="str">
        <f t="shared" si="15"/>
        <v/>
      </c>
      <c r="L177" s="130" t="str">
        <f t="shared" si="19"/>
        <v/>
      </c>
      <c r="N177" s="14" t="str">
        <f t="shared" si="20"/>
        <v/>
      </c>
      <c r="S177" s="217" t="str">
        <f t="shared" si="16"/>
        <v/>
      </c>
      <c r="T177" s="218" t="str">
        <f t="shared" si="14"/>
        <v/>
      </c>
      <c r="U177" s="219" t="str">
        <f>IF(S177="","",'Loan Terms'!$H$14)</f>
        <v/>
      </c>
      <c r="V177" s="220" t="str">
        <f t="shared" si="21"/>
        <v/>
      </c>
    </row>
    <row r="178" spans="2:22" ht="14.25" customHeight="1" x14ac:dyDescent="0.2">
      <c r="B178" s="126" t="str">
        <f>IF(OR(B177="",B177='Loan Terms'!$H$9*12),"",B177+1)</f>
        <v/>
      </c>
      <c r="C178" s="128" t="str">
        <f>IF(B178="","",IF('Loan Terms'!$H$15="30/360",30,D178-D177))</f>
        <v/>
      </c>
      <c r="D178" s="129" t="str">
        <f t="shared" si="17"/>
        <v/>
      </c>
      <c r="E178" s="129" t="str">
        <f>IF(B178="","",IF(B178&lt;='Loan Terms'!$G$10,"Yes","No"))</f>
        <v/>
      </c>
      <c r="F178" s="101" t="str">
        <f>IF(B178="","",IF('Loan Terms'!$C$13="Fixed",'Loan Terms'!$H$17,V178))</f>
        <v/>
      </c>
      <c r="G178" s="12" t="str">
        <f t="shared" si="18"/>
        <v/>
      </c>
      <c r="H178" s="12" t="str">
        <f>IF(G178="","",IF('Loan Terms'!$C$13="Fixed",(E178="Yes")*J178+(E178="No")*'Loan Terms'!$H$19,PMT(F178/12,'Loan Terms'!$G$11-B178+1,-G178)))</f>
        <v/>
      </c>
      <c r="I178" s="12" t="str">
        <f>IF(B178="","",IF(B178='Loan Terms'!$H$9*12,G178,H178-J178))</f>
        <v/>
      </c>
      <c r="J178" s="130" t="str">
        <f>IF(B178="","",IF('Loan Terms'!$H$15="Actual/365",F178*(C178/365),F178*(C178/360))*G178)</f>
        <v/>
      </c>
      <c r="K178" s="12" t="str">
        <f t="shared" si="15"/>
        <v/>
      </c>
      <c r="L178" s="130" t="str">
        <f t="shared" si="19"/>
        <v/>
      </c>
      <c r="N178" s="14" t="str">
        <f t="shared" si="20"/>
        <v/>
      </c>
      <c r="S178" s="217" t="str">
        <f t="shared" si="16"/>
        <v/>
      </c>
      <c r="T178" s="218" t="str">
        <f t="shared" si="14"/>
        <v/>
      </c>
      <c r="U178" s="219" t="str">
        <f>IF(S178="","",'Loan Terms'!$H$14)</f>
        <v/>
      </c>
      <c r="V178" s="220" t="str">
        <f t="shared" si="21"/>
        <v/>
      </c>
    </row>
    <row r="179" spans="2:22" ht="14.25" customHeight="1" x14ac:dyDescent="0.2">
      <c r="B179" s="126" t="str">
        <f>IF(OR(B178="",B178='Loan Terms'!$H$9*12),"",B178+1)</f>
        <v/>
      </c>
      <c r="C179" s="128" t="str">
        <f>IF(B179="","",IF('Loan Terms'!$H$15="30/360",30,D179-D178))</f>
        <v/>
      </c>
      <c r="D179" s="129" t="str">
        <f t="shared" si="17"/>
        <v/>
      </c>
      <c r="E179" s="129" t="str">
        <f>IF(B179="","",IF(B179&lt;='Loan Terms'!$G$10,"Yes","No"))</f>
        <v/>
      </c>
      <c r="F179" s="101" t="str">
        <f>IF(B179="","",IF('Loan Terms'!$C$13="Fixed",'Loan Terms'!$H$17,V179))</f>
        <v/>
      </c>
      <c r="G179" s="12" t="str">
        <f t="shared" si="18"/>
        <v/>
      </c>
      <c r="H179" s="12" t="str">
        <f>IF(G179="","",IF('Loan Terms'!$C$13="Fixed",(E179="Yes")*J179+(E179="No")*'Loan Terms'!$H$19,PMT(F179/12,'Loan Terms'!$G$11-B179+1,-G179)))</f>
        <v/>
      </c>
      <c r="I179" s="12" t="str">
        <f>IF(B179="","",IF(B179='Loan Terms'!$H$9*12,G179,H179-J179))</f>
        <v/>
      </c>
      <c r="J179" s="130" t="str">
        <f>IF(B179="","",IF('Loan Terms'!$H$15="Actual/365",F179*(C179/365),F179*(C179/360))*G179)</f>
        <v/>
      </c>
      <c r="K179" s="12" t="str">
        <f t="shared" si="15"/>
        <v/>
      </c>
      <c r="L179" s="130" t="str">
        <f t="shared" si="19"/>
        <v/>
      </c>
      <c r="N179" s="14" t="str">
        <f t="shared" si="20"/>
        <v/>
      </c>
      <c r="S179" s="217" t="str">
        <f t="shared" si="16"/>
        <v/>
      </c>
      <c r="T179" s="218" t="str">
        <f t="shared" si="14"/>
        <v/>
      </c>
      <c r="U179" s="219" t="str">
        <f>IF(S179="","",'Loan Terms'!$H$14)</f>
        <v/>
      </c>
      <c r="V179" s="220" t="str">
        <f t="shared" si="21"/>
        <v/>
      </c>
    </row>
    <row r="180" spans="2:22" ht="14.25" customHeight="1" x14ac:dyDescent="0.2">
      <c r="B180" s="126" t="str">
        <f>IF(OR(B179="",B179='Loan Terms'!$H$9*12),"",B179+1)</f>
        <v/>
      </c>
      <c r="C180" s="128" t="str">
        <f>IF(B180="","",IF('Loan Terms'!$H$15="30/360",30,D180-D179))</f>
        <v/>
      </c>
      <c r="D180" s="129" t="str">
        <f t="shared" si="17"/>
        <v/>
      </c>
      <c r="E180" s="129" t="str">
        <f>IF(B180="","",IF(B180&lt;='Loan Terms'!$G$10,"Yes","No"))</f>
        <v/>
      </c>
      <c r="F180" s="101" t="str">
        <f>IF(B180="","",IF('Loan Terms'!$C$13="Fixed",'Loan Terms'!$H$17,V180))</f>
        <v/>
      </c>
      <c r="G180" s="12" t="str">
        <f t="shared" si="18"/>
        <v/>
      </c>
      <c r="H180" s="12" t="str">
        <f>IF(G180="","",IF('Loan Terms'!$C$13="Fixed",(E180="Yes")*J180+(E180="No")*'Loan Terms'!$H$19,PMT(F180/12,'Loan Terms'!$G$11-B180+1,-G180)))</f>
        <v/>
      </c>
      <c r="I180" s="12" t="str">
        <f>IF(B180="","",IF(B180='Loan Terms'!$H$9*12,G180,H180-J180))</f>
        <v/>
      </c>
      <c r="J180" s="130" t="str">
        <f>IF(B180="","",IF('Loan Terms'!$H$15="Actual/365",F180*(C180/365),F180*(C180/360))*G180)</f>
        <v/>
      </c>
      <c r="K180" s="12" t="str">
        <f t="shared" si="15"/>
        <v/>
      </c>
      <c r="L180" s="130" t="str">
        <f t="shared" si="19"/>
        <v/>
      </c>
      <c r="N180" s="14" t="str">
        <f t="shared" si="20"/>
        <v/>
      </c>
      <c r="S180" s="217" t="str">
        <f t="shared" si="16"/>
        <v/>
      </c>
      <c r="T180" s="218" t="str">
        <f t="shared" si="14"/>
        <v/>
      </c>
      <c r="U180" s="219" t="str">
        <f>IF(S180="","",'Loan Terms'!$H$14)</f>
        <v/>
      </c>
      <c r="V180" s="220" t="str">
        <f t="shared" si="21"/>
        <v/>
      </c>
    </row>
    <row r="181" spans="2:22" ht="14.25" customHeight="1" x14ac:dyDescent="0.2">
      <c r="B181" s="126" t="str">
        <f>IF(OR(B180="",B180='Loan Terms'!$H$9*12),"",B180+1)</f>
        <v/>
      </c>
      <c r="C181" s="128" t="str">
        <f>IF(B181="","",IF('Loan Terms'!$H$15="30/360",30,D181-D180))</f>
        <v/>
      </c>
      <c r="D181" s="129" t="str">
        <f t="shared" si="17"/>
        <v/>
      </c>
      <c r="E181" s="129" t="str">
        <f>IF(B181="","",IF(B181&lt;='Loan Terms'!$G$10,"Yes","No"))</f>
        <v/>
      </c>
      <c r="F181" s="101" t="str">
        <f>IF(B181="","",IF('Loan Terms'!$C$13="Fixed",'Loan Terms'!$H$17,V181))</f>
        <v/>
      </c>
      <c r="G181" s="12" t="str">
        <f t="shared" si="18"/>
        <v/>
      </c>
      <c r="H181" s="12" t="str">
        <f>IF(G181="","",IF('Loan Terms'!$C$13="Fixed",(E181="Yes")*J181+(E181="No")*'Loan Terms'!$H$19,PMT(F181/12,'Loan Terms'!$G$11-B181+1,-G181)))</f>
        <v/>
      </c>
      <c r="I181" s="12" t="str">
        <f>IF(B181="","",IF(B181='Loan Terms'!$H$9*12,G181,H181-J181))</f>
        <v/>
      </c>
      <c r="J181" s="130" t="str">
        <f>IF(B181="","",IF('Loan Terms'!$H$15="Actual/365",F181*(C181/365),F181*(C181/360))*G181)</f>
        <v/>
      </c>
      <c r="K181" s="12" t="str">
        <f t="shared" si="15"/>
        <v/>
      </c>
      <c r="L181" s="130" t="str">
        <f t="shared" si="19"/>
        <v/>
      </c>
      <c r="N181" s="14" t="str">
        <f t="shared" si="20"/>
        <v/>
      </c>
      <c r="S181" s="217" t="str">
        <f t="shared" si="16"/>
        <v/>
      </c>
      <c r="T181" s="218" t="str">
        <f t="shared" si="14"/>
        <v/>
      </c>
      <c r="U181" s="219" t="str">
        <f>IF(S181="","",'Loan Terms'!$H$14)</f>
        <v/>
      </c>
      <c r="V181" s="220" t="str">
        <f t="shared" si="21"/>
        <v/>
      </c>
    </row>
    <row r="182" spans="2:22" ht="14.25" customHeight="1" x14ac:dyDescent="0.2">
      <c r="B182" s="126" t="str">
        <f>IF(OR(B181="",B181='Loan Terms'!$H$9*12),"",B181+1)</f>
        <v/>
      </c>
      <c r="C182" s="128" t="str">
        <f>IF(B182="","",IF('Loan Terms'!$H$15="30/360",30,D182-D181))</f>
        <v/>
      </c>
      <c r="D182" s="129" t="str">
        <f t="shared" si="17"/>
        <v/>
      </c>
      <c r="E182" s="129" t="str">
        <f>IF(B182="","",IF(B182&lt;='Loan Terms'!$G$10,"Yes","No"))</f>
        <v/>
      </c>
      <c r="F182" s="101" t="str">
        <f>IF(B182="","",IF('Loan Terms'!$C$13="Fixed",'Loan Terms'!$H$17,V182))</f>
        <v/>
      </c>
      <c r="G182" s="12" t="str">
        <f t="shared" si="18"/>
        <v/>
      </c>
      <c r="H182" s="12" t="str">
        <f>IF(G182="","",IF('Loan Terms'!$C$13="Fixed",(E182="Yes")*J182+(E182="No")*'Loan Terms'!$H$19,PMT(F182/12,'Loan Terms'!$G$11-B182+1,-G182)))</f>
        <v/>
      </c>
      <c r="I182" s="12" t="str">
        <f>IF(B182="","",IF(B182='Loan Terms'!$H$9*12,G182,H182-J182))</f>
        <v/>
      </c>
      <c r="J182" s="130" t="str">
        <f>IF(B182="","",IF('Loan Terms'!$H$15="Actual/365",F182*(C182/365),F182*(C182/360))*G182)</f>
        <v/>
      </c>
      <c r="K182" s="12" t="str">
        <f t="shared" si="15"/>
        <v/>
      </c>
      <c r="L182" s="130" t="str">
        <f t="shared" si="19"/>
        <v/>
      </c>
      <c r="N182" s="14" t="str">
        <f t="shared" si="20"/>
        <v/>
      </c>
      <c r="S182" s="217" t="str">
        <f t="shared" si="16"/>
        <v/>
      </c>
      <c r="T182" s="218" t="str">
        <f t="shared" si="14"/>
        <v/>
      </c>
      <c r="U182" s="219" t="str">
        <f>IF(S182="","",'Loan Terms'!$H$14)</f>
        <v/>
      </c>
      <c r="V182" s="220" t="str">
        <f t="shared" si="21"/>
        <v/>
      </c>
    </row>
    <row r="183" spans="2:22" ht="14.25" customHeight="1" x14ac:dyDescent="0.2">
      <c r="B183" s="126" t="str">
        <f>IF(OR(B182="",B182='Loan Terms'!$H$9*12),"",B182+1)</f>
        <v/>
      </c>
      <c r="C183" s="128" t="str">
        <f>IF(B183="","",IF('Loan Terms'!$H$15="30/360",30,D183-D182))</f>
        <v/>
      </c>
      <c r="D183" s="129" t="str">
        <f t="shared" si="17"/>
        <v/>
      </c>
      <c r="E183" s="129" t="str">
        <f>IF(B183="","",IF(B183&lt;='Loan Terms'!$G$10,"Yes","No"))</f>
        <v/>
      </c>
      <c r="F183" s="101" t="str">
        <f>IF(B183="","",IF('Loan Terms'!$C$13="Fixed",'Loan Terms'!$H$17,V183))</f>
        <v/>
      </c>
      <c r="G183" s="12" t="str">
        <f t="shared" si="18"/>
        <v/>
      </c>
      <c r="H183" s="12" t="str">
        <f>IF(G183="","",IF('Loan Terms'!$C$13="Fixed",(E183="Yes")*J183+(E183="No")*'Loan Terms'!$H$19,PMT(F183/12,'Loan Terms'!$G$11-B183+1,-G183)))</f>
        <v/>
      </c>
      <c r="I183" s="12" t="str">
        <f>IF(B183="","",IF(B183='Loan Terms'!$H$9*12,G183,H183-J183))</f>
        <v/>
      </c>
      <c r="J183" s="130" t="str">
        <f>IF(B183="","",IF('Loan Terms'!$H$15="Actual/365",F183*(C183/365),F183*(C183/360))*G183)</f>
        <v/>
      </c>
      <c r="K183" s="12" t="str">
        <f t="shared" si="15"/>
        <v/>
      </c>
      <c r="L183" s="130" t="str">
        <f t="shared" si="19"/>
        <v/>
      </c>
      <c r="N183" s="14" t="str">
        <f t="shared" si="20"/>
        <v/>
      </c>
      <c r="S183" s="217" t="str">
        <f t="shared" si="16"/>
        <v/>
      </c>
      <c r="T183" s="218" t="str">
        <f t="shared" si="14"/>
        <v/>
      </c>
      <c r="U183" s="219" t="str">
        <f>IF(S183="","",'Loan Terms'!$H$14)</f>
        <v/>
      </c>
      <c r="V183" s="220" t="str">
        <f t="shared" si="21"/>
        <v/>
      </c>
    </row>
    <row r="184" spans="2:22" ht="14.25" customHeight="1" x14ac:dyDescent="0.2">
      <c r="B184" s="126" t="str">
        <f>IF(OR(B183="",B183='Loan Terms'!$H$9*12),"",B183+1)</f>
        <v/>
      </c>
      <c r="C184" s="128" t="str">
        <f>IF(B184="","",IF('Loan Terms'!$H$15="30/360",30,D184-D183))</f>
        <v/>
      </c>
      <c r="D184" s="129" t="str">
        <f t="shared" si="17"/>
        <v/>
      </c>
      <c r="E184" s="129" t="str">
        <f>IF(B184="","",IF(B184&lt;='Loan Terms'!$G$10,"Yes","No"))</f>
        <v/>
      </c>
      <c r="F184" s="101" t="str">
        <f>IF(B184="","",IF('Loan Terms'!$C$13="Fixed",'Loan Terms'!$H$17,V184))</f>
        <v/>
      </c>
      <c r="G184" s="12" t="str">
        <f t="shared" si="18"/>
        <v/>
      </c>
      <c r="H184" s="12" t="str">
        <f>IF(G184="","",IF('Loan Terms'!$C$13="Fixed",(E184="Yes")*J184+(E184="No")*'Loan Terms'!$H$19,PMT(F184/12,'Loan Terms'!$G$11-B184+1,-G184)))</f>
        <v/>
      </c>
      <c r="I184" s="12" t="str">
        <f>IF(B184="","",IF(B184='Loan Terms'!$H$9*12,G184,H184-J184))</f>
        <v/>
      </c>
      <c r="J184" s="130" t="str">
        <f>IF(B184="","",IF('Loan Terms'!$H$15="Actual/365",F184*(C184/365),F184*(C184/360))*G184)</f>
        <v/>
      </c>
      <c r="K184" s="12" t="str">
        <f t="shared" si="15"/>
        <v/>
      </c>
      <c r="L184" s="130" t="str">
        <f t="shared" si="19"/>
        <v/>
      </c>
      <c r="N184" s="14" t="str">
        <f t="shared" si="20"/>
        <v/>
      </c>
      <c r="S184" s="217" t="str">
        <f t="shared" si="16"/>
        <v/>
      </c>
      <c r="T184" s="218" t="str">
        <f t="shared" si="14"/>
        <v/>
      </c>
      <c r="U184" s="219" t="str">
        <f>IF(S184="","",'Loan Terms'!$H$14)</f>
        <v/>
      </c>
      <c r="V184" s="220" t="str">
        <f t="shared" si="21"/>
        <v/>
      </c>
    </row>
    <row r="185" spans="2:22" ht="14.25" customHeight="1" x14ac:dyDescent="0.2">
      <c r="B185" s="126" t="str">
        <f>IF(OR(B184="",B184='Loan Terms'!$H$9*12),"",B184+1)</f>
        <v/>
      </c>
      <c r="C185" s="128" t="str">
        <f>IF(B185="","",IF('Loan Terms'!$H$15="30/360",30,D185-D184))</f>
        <v/>
      </c>
      <c r="D185" s="129" t="str">
        <f t="shared" si="17"/>
        <v/>
      </c>
      <c r="E185" s="129" t="str">
        <f>IF(B185="","",IF(B185&lt;='Loan Terms'!$G$10,"Yes","No"))</f>
        <v/>
      </c>
      <c r="F185" s="101" t="str">
        <f>IF(B185="","",IF('Loan Terms'!$C$13="Fixed",'Loan Terms'!$H$17,V185))</f>
        <v/>
      </c>
      <c r="G185" s="12" t="str">
        <f t="shared" si="18"/>
        <v/>
      </c>
      <c r="H185" s="12" t="str">
        <f>IF(G185="","",IF('Loan Terms'!$C$13="Fixed",(E185="Yes")*J185+(E185="No")*'Loan Terms'!$H$19,PMT(F185/12,'Loan Terms'!$G$11-B185+1,-G185)))</f>
        <v/>
      </c>
      <c r="I185" s="12" t="str">
        <f>IF(B185="","",IF(B185='Loan Terms'!$H$9*12,G185,H185-J185))</f>
        <v/>
      </c>
      <c r="J185" s="130" t="str">
        <f>IF(B185="","",IF('Loan Terms'!$H$15="Actual/365",F185*(C185/365),F185*(C185/360))*G185)</f>
        <v/>
      </c>
      <c r="K185" s="12" t="str">
        <f t="shared" si="15"/>
        <v/>
      </c>
      <c r="L185" s="130" t="str">
        <f t="shared" si="19"/>
        <v/>
      </c>
      <c r="N185" s="14" t="str">
        <f t="shared" si="20"/>
        <v/>
      </c>
      <c r="S185" s="217" t="str">
        <f t="shared" si="16"/>
        <v/>
      </c>
      <c r="T185" s="218" t="str">
        <f t="shared" si="14"/>
        <v/>
      </c>
      <c r="U185" s="219" t="str">
        <f>IF(S185="","",'Loan Terms'!$H$14)</f>
        <v/>
      </c>
      <c r="V185" s="220" t="str">
        <f t="shared" si="21"/>
        <v/>
      </c>
    </row>
    <row r="186" spans="2:22" ht="14.25" customHeight="1" x14ac:dyDescent="0.2">
      <c r="B186" s="126" t="str">
        <f>IF(OR(B185="",B185='Loan Terms'!$H$9*12),"",B185+1)</f>
        <v/>
      </c>
      <c r="C186" s="128" t="str">
        <f>IF(B186="","",IF('Loan Terms'!$H$15="30/360",30,D186-D185))</f>
        <v/>
      </c>
      <c r="D186" s="129" t="str">
        <f t="shared" si="17"/>
        <v/>
      </c>
      <c r="E186" s="129" t="str">
        <f>IF(B186="","",IF(B186&lt;='Loan Terms'!$G$10,"Yes","No"))</f>
        <v/>
      </c>
      <c r="F186" s="101" t="str">
        <f>IF(B186="","",IF('Loan Terms'!$C$13="Fixed",'Loan Terms'!$H$17,V186))</f>
        <v/>
      </c>
      <c r="G186" s="12" t="str">
        <f t="shared" si="18"/>
        <v/>
      </c>
      <c r="H186" s="12" t="str">
        <f>IF(G186="","",IF('Loan Terms'!$C$13="Fixed",(E186="Yes")*J186+(E186="No")*'Loan Terms'!$H$19,PMT(F186/12,'Loan Terms'!$G$11-B186+1,-G186)))</f>
        <v/>
      </c>
      <c r="I186" s="12" t="str">
        <f>IF(B186="","",IF(B186='Loan Terms'!$H$9*12,G186,H186-J186))</f>
        <v/>
      </c>
      <c r="J186" s="130" t="str">
        <f>IF(B186="","",IF('Loan Terms'!$H$15="Actual/365",F186*(C186/365),F186*(C186/360))*G186)</f>
        <v/>
      </c>
      <c r="K186" s="12" t="str">
        <f t="shared" si="15"/>
        <v/>
      </c>
      <c r="L186" s="130" t="str">
        <f t="shared" si="19"/>
        <v/>
      </c>
      <c r="N186" s="14" t="str">
        <f t="shared" si="20"/>
        <v/>
      </c>
      <c r="S186" s="217" t="str">
        <f t="shared" si="16"/>
        <v/>
      </c>
      <c r="T186" s="218" t="str">
        <f t="shared" si="14"/>
        <v/>
      </c>
      <c r="U186" s="219" t="str">
        <f>IF(S186="","",'Loan Terms'!$H$14)</f>
        <v/>
      </c>
      <c r="V186" s="220" t="str">
        <f t="shared" si="21"/>
        <v/>
      </c>
    </row>
    <row r="187" spans="2:22" ht="14.25" customHeight="1" x14ac:dyDescent="0.2">
      <c r="B187" s="126" t="str">
        <f>IF(OR(B186="",B186='Loan Terms'!$H$9*12),"",B186+1)</f>
        <v/>
      </c>
      <c r="C187" s="128" t="str">
        <f>IF(B187="","",IF('Loan Terms'!$H$15="30/360",30,D187-D186))</f>
        <v/>
      </c>
      <c r="D187" s="129" t="str">
        <f t="shared" si="17"/>
        <v/>
      </c>
      <c r="E187" s="129" t="str">
        <f>IF(B187="","",IF(B187&lt;='Loan Terms'!$G$10,"Yes","No"))</f>
        <v/>
      </c>
      <c r="F187" s="101" t="str">
        <f>IF(B187="","",IF('Loan Terms'!$C$13="Fixed",'Loan Terms'!$H$17,V187))</f>
        <v/>
      </c>
      <c r="G187" s="12" t="str">
        <f t="shared" si="18"/>
        <v/>
      </c>
      <c r="H187" s="12" t="str">
        <f>IF(G187="","",IF('Loan Terms'!$C$13="Fixed",(E187="Yes")*J187+(E187="No")*'Loan Terms'!$H$19,PMT(F187/12,'Loan Terms'!$G$11-B187+1,-G187)))</f>
        <v/>
      </c>
      <c r="I187" s="12" t="str">
        <f>IF(B187="","",IF(B187='Loan Terms'!$H$9*12,G187,H187-J187))</f>
        <v/>
      </c>
      <c r="J187" s="130" t="str">
        <f>IF(B187="","",IF('Loan Terms'!$H$15="Actual/365",F187*(C187/365),F187*(C187/360))*G187)</f>
        <v/>
      </c>
      <c r="K187" s="12" t="str">
        <f t="shared" si="15"/>
        <v/>
      </c>
      <c r="L187" s="130" t="str">
        <f t="shared" si="19"/>
        <v/>
      </c>
      <c r="N187" s="14" t="str">
        <f t="shared" si="20"/>
        <v/>
      </c>
      <c r="S187" s="217" t="str">
        <f t="shared" si="16"/>
        <v/>
      </c>
      <c r="T187" s="218" t="str">
        <f t="shared" si="14"/>
        <v/>
      </c>
      <c r="U187" s="219" t="str">
        <f>IF(S187="","",'Loan Terms'!$H$14)</f>
        <v/>
      </c>
      <c r="V187" s="220" t="str">
        <f t="shared" si="21"/>
        <v/>
      </c>
    </row>
    <row r="188" spans="2:22" ht="14.25" customHeight="1" x14ac:dyDescent="0.2">
      <c r="B188" s="126" t="str">
        <f>IF(OR(B187="",B187='Loan Terms'!$H$9*12),"",B187+1)</f>
        <v/>
      </c>
      <c r="C188" s="128" t="str">
        <f>IF(B188="","",IF('Loan Terms'!$H$15="30/360",30,D188-D187))</f>
        <v/>
      </c>
      <c r="D188" s="129" t="str">
        <f t="shared" si="17"/>
        <v/>
      </c>
      <c r="E188" s="129" t="str">
        <f>IF(B188="","",IF(B188&lt;='Loan Terms'!$G$10,"Yes","No"))</f>
        <v/>
      </c>
      <c r="F188" s="101" t="str">
        <f>IF(B188="","",IF('Loan Terms'!$C$13="Fixed",'Loan Terms'!$H$17,V188))</f>
        <v/>
      </c>
      <c r="G188" s="12" t="str">
        <f t="shared" si="18"/>
        <v/>
      </c>
      <c r="H188" s="12" t="str">
        <f>IF(G188="","",IF('Loan Terms'!$C$13="Fixed",(E188="Yes")*J188+(E188="No")*'Loan Terms'!$H$19,PMT(F188/12,'Loan Terms'!$G$11-B188+1,-G188)))</f>
        <v/>
      </c>
      <c r="I188" s="12" t="str">
        <f>IF(B188="","",IF(B188='Loan Terms'!$H$9*12,G188,H188-J188))</f>
        <v/>
      </c>
      <c r="J188" s="130" t="str">
        <f>IF(B188="","",IF('Loan Terms'!$H$15="Actual/365",F188*(C188/365),F188*(C188/360))*G188)</f>
        <v/>
      </c>
      <c r="K188" s="12" t="str">
        <f t="shared" si="15"/>
        <v/>
      </c>
      <c r="L188" s="130" t="str">
        <f t="shared" si="19"/>
        <v/>
      </c>
      <c r="N188" s="14" t="str">
        <f t="shared" si="20"/>
        <v/>
      </c>
      <c r="S188" s="217" t="str">
        <f t="shared" si="16"/>
        <v/>
      </c>
      <c r="T188" s="218" t="str">
        <f t="shared" si="14"/>
        <v/>
      </c>
      <c r="U188" s="219" t="str">
        <f>IF(S188="","",'Loan Terms'!$H$14)</f>
        <v/>
      </c>
      <c r="V188" s="220" t="str">
        <f t="shared" si="21"/>
        <v/>
      </c>
    </row>
    <row r="189" spans="2:22" ht="14.25" customHeight="1" x14ac:dyDescent="0.2">
      <c r="B189" s="126" t="str">
        <f>IF(OR(B188="",B188='Loan Terms'!$H$9*12),"",B188+1)</f>
        <v/>
      </c>
      <c r="C189" s="128" t="str">
        <f>IF(B189="","",IF('Loan Terms'!$H$15="30/360",30,D189-D188))</f>
        <v/>
      </c>
      <c r="D189" s="129" t="str">
        <f t="shared" si="17"/>
        <v/>
      </c>
      <c r="E189" s="129" t="str">
        <f>IF(B189="","",IF(B189&lt;='Loan Terms'!$G$10,"Yes","No"))</f>
        <v/>
      </c>
      <c r="F189" s="101" t="str">
        <f>IF(B189="","",IF('Loan Terms'!$C$13="Fixed",'Loan Terms'!$H$17,V189))</f>
        <v/>
      </c>
      <c r="G189" s="12" t="str">
        <f t="shared" si="18"/>
        <v/>
      </c>
      <c r="H189" s="12" t="str">
        <f>IF(G189="","",IF('Loan Terms'!$C$13="Fixed",(E189="Yes")*J189+(E189="No")*'Loan Terms'!$H$19,PMT(F189/12,'Loan Terms'!$G$11-B189+1,-G189)))</f>
        <v/>
      </c>
      <c r="I189" s="12" t="str">
        <f>IF(B189="","",IF(B189='Loan Terms'!$H$9*12,G189,H189-J189))</f>
        <v/>
      </c>
      <c r="J189" s="130" t="str">
        <f>IF(B189="","",IF('Loan Terms'!$H$15="Actual/365",F189*(C189/365),F189*(C189/360))*G189)</f>
        <v/>
      </c>
      <c r="K189" s="12" t="str">
        <f t="shared" si="15"/>
        <v/>
      </c>
      <c r="L189" s="130" t="str">
        <f t="shared" si="19"/>
        <v/>
      </c>
      <c r="N189" s="14" t="str">
        <f t="shared" si="20"/>
        <v/>
      </c>
      <c r="S189" s="217" t="str">
        <f t="shared" si="16"/>
        <v/>
      </c>
      <c r="T189" s="218" t="str">
        <f t="shared" si="14"/>
        <v/>
      </c>
      <c r="U189" s="219" t="str">
        <f>IF(S189="","",'Loan Terms'!$H$14)</f>
        <v/>
      </c>
      <c r="V189" s="220" t="str">
        <f t="shared" si="21"/>
        <v/>
      </c>
    </row>
    <row r="190" spans="2:22" ht="14.25" customHeight="1" x14ac:dyDescent="0.2">
      <c r="B190" s="126" t="str">
        <f>IF(OR(B189="",B189='Loan Terms'!$H$9*12),"",B189+1)</f>
        <v/>
      </c>
      <c r="C190" s="128" t="str">
        <f>IF(B190="","",IF('Loan Terms'!$H$15="30/360",30,D190-D189))</f>
        <v/>
      </c>
      <c r="D190" s="129" t="str">
        <f t="shared" si="17"/>
        <v/>
      </c>
      <c r="E190" s="129" t="str">
        <f>IF(B190="","",IF(B190&lt;='Loan Terms'!$G$10,"Yes","No"))</f>
        <v/>
      </c>
      <c r="F190" s="101" t="str">
        <f>IF(B190="","",IF('Loan Terms'!$C$13="Fixed",'Loan Terms'!$H$17,V190))</f>
        <v/>
      </c>
      <c r="G190" s="12" t="str">
        <f t="shared" si="18"/>
        <v/>
      </c>
      <c r="H190" s="12" t="str">
        <f>IF(G190="","",IF('Loan Terms'!$C$13="Fixed",(E190="Yes")*J190+(E190="No")*'Loan Terms'!$H$19,PMT(F190/12,'Loan Terms'!$G$11-B190+1,-G190)))</f>
        <v/>
      </c>
      <c r="I190" s="12" t="str">
        <f>IF(B190="","",IF(B190='Loan Terms'!$H$9*12,G190,H190-J190))</f>
        <v/>
      </c>
      <c r="J190" s="130" t="str">
        <f>IF(B190="","",IF('Loan Terms'!$H$15="Actual/365",F190*(C190/365),F190*(C190/360))*G190)</f>
        <v/>
      </c>
      <c r="K190" s="12" t="str">
        <f t="shared" si="15"/>
        <v/>
      </c>
      <c r="L190" s="130" t="str">
        <f t="shared" si="19"/>
        <v/>
      </c>
      <c r="N190" s="14" t="str">
        <f t="shared" si="20"/>
        <v/>
      </c>
      <c r="S190" s="217" t="str">
        <f t="shared" si="16"/>
        <v/>
      </c>
      <c r="T190" s="218" t="str">
        <f t="shared" si="14"/>
        <v/>
      </c>
      <c r="U190" s="219" t="str">
        <f>IF(S190="","",'Loan Terms'!$H$14)</f>
        <v/>
      </c>
      <c r="V190" s="220" t="str">
        <f t="shared" si="21"/>
        <v/>
      </c>
    </row>
    <row r="191" spans="2:22" ht="14.25" customHeight="1" x14ac:dyDescent="0.2">
      <c r="B191" s="126" t="str">
        <f>IF(OR(B190="",B190='Loan Terms'!$H$9*12),"",B190+1)</f>
        <v/>
      </c>
      <c r="C191" s="128" t="str">
        <f>IF(B191="","",IF('Loan Terms'!$H$15="30/360",30,D191-D190))</f>
        <v/>
      </c>
      <c r="D191" s="129" t="str">
        <f t="shared" si="17"/>
        <v/>
      </c>
      <c r="E191" s="129" t="str">
        <f>IF(B191="","",IF(B191&lt;='Loan Terms'!$G$10,"Yes","No"))</f>
        <v/>
      </c>
      <c r="F191" s="101" t="str">
        <f>IF(B191="","",IF('Loan Terms'!$C$13="Fixed",'Loan Terms'!$H$17,V191))</f>
        <v/>
      </c>
      <c r="G191" s="12" t="str">
        <f t="shared" si="18"/>
        <v/>
      </c>
      <c r="H191" s="12" t="str">
        <f>IF(G191="","",IF('Loan Terms'!$C$13="Fixed",(E191="Yes")*J191+(E191="No")*'Loan Terms'!$H$19,PMT(F191/12,'Loan Terms'!$G$11-B191+1,-G191)))</f>
        <v/>
      </c>
      <c r="I191" s="12" t="str">
        <f>IF(B191="","",IF(B191='Loan Terms'!$H$9*12,G191,H191-J191))</f>
        <v/>
      </c>
      <c r="J191" s="130" t="str">
        <f>IF(B191="","",IF('Loan Terms'!$H$15="Actual/365",F191*(C191/365),F191*(C191/360))*G191)</f>
        <v/>
      </c>
      <c r="K191" s="12" t="str">
        <f t="shared" si="15"/>
        <v/>
      </c>
      <c r="L191" s="130" t="str">
        <f t="shared" si="19"/>
        <v/>
      </c>
      <c r="N191" s="14" t="str">
        <f t="shared" si="20"/>
        <v/>
      </c>
      <c r="S191" s="217" t="str">
        <f t="shared" si="16"/>
        <v/>
      </c>
      <c r="T191" s="218" t="str">
        <f t="shared" ref="T191:T254" si="22">IF(S191="","",T190)</f>
        <v/>
      </c>
      <c r="U191" s="219" t="str">
        <f>IF(S191="","",'Loan Terms'!$H$14)</f>
        <v/>
      </c>
      <c r="V191" s="220" t="str">
        <f t="shared" si="21"/>
        <v/>
      </c>
    </row>
    <row r="192" spans="2:22" ht="14.25" customHeight="1" x14ac:dyDescent="0.2">
      <c r="B192" s="126" t="str">
        <f>IF(OR(B191="",B191='Loan Terms'!$H$9*12),"",B191+1)</f>
        <v/>
      </c>
      <c r="C192" s="128" t="str">
        <f>IF(B192="","",IF('Loan Terms'!$H$15="30/360",30,D192-D191))</f>
        <v/>
      </c>
      <c r="D192" s="129" t="str">
        <f t="shared" si="17"/>
        <v/>
      </c>
      <c r="E192" s="129" t="str">
        <f>IF(B192="","",IF(B192&lt;='Loan Terms'!$G$10,"Yes","No"))</f>
        <v/>
      </c>
      <c r="F192" s="101" t="str">
        <f>IF(B192="","",IF('Loan Terms'!$C$13="Fixed",'Loan Terms'!$H$17,V192))</f>
        <v/>
      </c>
      <c r="G192" s="12" t="str">
        <f t="shared" si="18"/>
        <v/>
      </c>
      <c r="H192" s="12" t="str">
        <f>IF(G192="","",IF('Loan Terms'!$C$13="Fixed",(E192="Yes")*J192+(E192="No")*'Loan Terms'!$H$19,PMT(F192/12,'Loan Terms'!$G$11-B192+1,-G192)))</f>
        <v/>
      </c>
      <c r="I192" s="12" t="str">
        <f>IF(B192="","",IF(B192='Loan Terms'!$H$9*12,G192,H192-J192))</f>
        <v/>
      </c>
      <c r="J192" s="130" t="str">
        <f>IF(B192="","",IF('Loan Terms'!$H$15="Actual/365",F192*(C192/365),F192*(C192/360))*G192)</f>
        <v/>
      </c>
      <c r="K192" s="12" t="str">
        <f t="shared" si="15"/>
        <v/>
      </c>
      <c r="L192" s="130" t="str">
        <f t="shared" si="19"/>
        <v/>
      </c>
      <c r="N192" s="14" t="str">
        <f t="shared" si="20"/>
        <v/>
      </c>
      <c r="S192" s="217" t="str">
        <f t="shared" si="16"/>
        <v/>
      </c>
      <c r="T192" s="218" t="str">
        <f t="shared" si="22"/>
        <v/>
      </c>
      <c r="U192" s="219" t="str">
        <f>IF(S192="","",'Loan Terms'!$H$14)</f>
        <v/>
      </c>
      <c r="V192" s="220" t="str">
        <f t="shared" si="21"/>
        <v/>
      </c>
    </row>
    <row r="193" spans="2:22" ht="14.25" customHeight="1" x14ac:dyDescent="0.2">
      <c r="B193" s="126" t="str">
        <f>IF(OR(B192="",B192='Loan Terms'!$H$9*12),"",B192+1)</f>
        <v/>
      </c>
      <c r="C193" s="128" t="str">
        <f>IF(B193="","",IF('Loan Terms'!$H$15="30/360",30,D193-D192))</f>
        <v/>
      </c>
      <c r="D193" s="129" t="str">
        <f t="shared" si="17"/>
        <v/>
      </c>
      <c r="E193" s="129" t="str">
        <f>IF(B193="","",IF(B193&lt;='Loan Terms'!$G$10,"Yes","No"))</f>
        <v/>
      </c>
      <c r="F193" s="101" t="str">
        <f>IF(B193="","",IF('Loan Terms'!$C$13="Fixed",'Loan Terms'!$H$17,V193))</f>
        <v/>
      </c>
      <c r="G193" s="12" t="str">
        <f t="shared" si="18"/>
        <v/>
      </c>
      <c r="H193" s="12" t="str">
        <f>IF(G193="","",IF('Loan Terms'!$C$13="Fixed",(E193="Yes")*J193+(E193="No")*'Loan Terms'!$H$19,PMT(F193/12,'Loan Terms'!$G$11-B193+1,-G193)))</f>
        <v/>
      </c>
      <c r="I193" s="12" t="str">
        <f>IF(B193="","",IF(B193='Loan Terms'!$H$9*12,G193,H193-J193))</f>
        <v/>
      </c>
      <c r="J193" s="130" t="str">
        <f>IF(B193="","",IF('Loan Terms'!$H$15="Actual/365",F193*(C193/365),F193*(C193/360))*G193)</f>
        <v/>
      </c>
      <c r="K193" s="12" t="str">
        <f t="shared" si="15"/>
        <v/>
      </c>
      <c r="L193" s="130" t="str">
        <f t="shared" si="19"/>
        <v/>
      </c>
      <c r="N193" s="14" t="str">
        <f t="shared" si="20"/>
        <v/>
      </c>
      <c r="S193" s="217" t="str">
        <f t="shared" si="16"/>
        <v/>
      </c>
      <c r="T193" s="218" t="str">
        <f t="shared" si="22"/>
        <v/>
      </c>
      <c r="U193" s="219" t="str">
        <f>IF(S193="","",'Loan Terms'!$H$14)</f>
        <v/>
      </c>
      <c r="V193" s="220" t="str">
        <f t="shared" si="21"/>
        <v/>
      </c>
    </row>
    <row r="194" spans="2:22" ht="14.25" customHeight="1" x14ac:dyDescent="0.2">
      <c r="B194" s="126" t="str">
        <f>IF(OR(B193="",B193='Loan Terms'!$H$9*12),"",B193+1)</f>
        <v/>
      </c>
      <c r="C194" s="128" t="str">
        <f>IF(B194="","",IF('Loan Terms'!$H$15="30/360",30,D194-D193))</f>
        <v/>
      </c>
      <c r="D194" s="129" t="str">
        <f t="shared" si="17"/>
        <v/>
      </c>
      <c r="E194" s="129" t="str">
        <f>IF(B194="","",IF(B194&lt;='Loan Terms'!$G$10,"Yes","No"))</f>
        <v/>
      </c>
      <c r="F194" s="101" t="str">
        <f>IF(B194="","",IF('Loan Terms'!$C$13="Fixed",'Loan Terms'!$H$17,V194))</f>
        <v/>
      </c>
      <c r="G194" s="12" t="str">
        <f t="shared" si="18"/>
        <v/>
      </c>
      <c r="H194" s="12" t="str">
        <f>IF(G194="","",IF('Loan Terms'!$C$13="Fixed",(E194="Yes")*J194+(E194="No")*'Loan Terms'!$H$19,PMT(F194/12,'Loan Terms'!$G$11-B194+1,-G194)))</f>
        <v/>
      </c>
      <c r="I194" s="12" t="str">
        <f>IF(B194="","",IF(B194='Loan Terms'!$H$9*12,G194,H194-J194))</f>
        <v/>
      </c>
      <c r="J194" s="130" t="str">
        <f>IF(B194="","",IF('Loan Terms'!$H$15="Actual/365",F194*(C194/365),F194*(C194/360))*G194)</f>
        <v/>
      </c>
      <c r="K194" s="12" t="str">
        <f t="shared" si="15"/>
        <v/>
      </c>
      <c r="L194" s="130" t="str">
        <f t="shared" si="19"/>
        <v/>
      </c>
      <c r="N194" s="14" t="str">
        <f t="shared" si="20"/>
        <v/>
      </c>
      <c r="S194" s="217" t="str">
        <f t="shared" si="16"/>
        <v/>
      </c>
      <c r="T194" s="218" t="str">
        <f t="shared" si="22"/>
        <v/>
      </c>
      <c r="U194" s="219" t="str">
        <f>IF(S194="","",'Loan Terms'!$H$14)</f>
        <v/>
      </c>
      <c r="V194" s="220" t="str">
        <f t="shared" si="21"/>
        <v/>
      </c>
    </row>
    <row r="195" spans="2:22" ht="14.25" customHeight="1" x14ac:dyDescent="0.2">
      <c r="B195" s="126" t="str">
        <f>IF(OR(B194="",B194='Loan Terms'!$H$9*12),"",B194+1)</f>
        <v/>
      </c>
      <c r="C195" s="128" t="str">
        <f>IF(B195="","",IF('Loan Terms'!$H$15="30/360",30,D195-D194))</f>
        <v/>
      </c>
      <c r="D195" s="129" t="str">
        <f t="shared" si="17"/>
        <v/>
      </c>
      <c r="E195" s="129" t="str">
        <f>IF(B195="","",IF(B195&lt;='Loan Terms'!$G$10,"Yes","No"))</f>
        <v/>
      </c>
      <c r="F195" s="101" t="str">
        <f>IF(B195="","",IF('Loan Terms'!$C$13="Fixed",'Loan Terms'!$H$17,V195))</f>
        <v/>
      </c>
      <c r="G195" s="12" t="str">
        <f t="shared" si="18"/>
        <v/>
      </c>
      <c r="H195" s="12" t="str">
        <f>IF(G195="","",IF('Loan Terms'!$C$13="Fixed",(E195="Yes")*J195+(E195="No")*'Loan Terms'!$H$19,PMT(F195/12,'Loan Terms'!$G$11-B195+1,-G195)))</f>
        <v/>
      </c>
      <c r="I195" s="12" t="str">
        <f>IF(B195="","",IF(B195='Loan Terms'!$H$9*12,G195,H195-J195))</f>
        <v/>
      </c>
      <c r="J195" s="130" t="str">
        <f>IF(B195="","",IF('Loan Terms'!$H$15="Actual/365",F195*(C195/365),F195*(C195/360))*G195)</f>
        <v/>
      </c>
      <c r="K195" s="12" t="str">
        <f t="shared" si="15"/>
        <v/>
      </c>
      <c r="L195" s="130" t="str">
        <f t="shared" si="19"/>
        <v/>
      </c>
      <c r="N195" s="14" t="str">
        <f t="shared" si="20"/>
        <v/>
      </c>
      <c r="S195" s="217" t="str">
        <f t="shared" si="16"/>
        <v/>
      </c>
      <c r="T195" s="218" t="str">
        <f t="shared" si="22"/>
        <v/>
      </c>
      <c r="U195" s="219" t="str">
        <f>IF(S195="","",'Loan Terms'!$H$14)</f>
        <v/>
      </c>
      <c r="V195" s="220" t="str">
        <f t="shared" si="21"/>
        <v/>
      </c>
    </row>
    <row r="196" spans="2:22" ht="14.25" customHeight="1" x14ac:dyDescent="0.2">
      <c r="B196" s="126" t="str">
        <f>IF(OR(B195="",B195='Loan Terms'!$H$9*12),"",B195+1)</f>
        <v/>
      </c>
      <c r="C196" s="128" t="str">
        <f>IF(B196="","",IF('Loan Terms'!$H$15="30/360",30,D196-D195))</f>
        <v/>
      </c>
      <c r="D196" s="129" t="str">
        <f t="shared" si="17"/>
        <v/>
      </c>
      <c r="E196" s="129" t="str">
        <f>IF(B196="","",IF(B196&lt;='Loan Terms'!$G$10,"Yes","No"))</f>
        <v/>
      </c>
      <c r="F196" s="101" t="str">
        <f>IF(B196="","",IF('Loan Terms'!$C$13="Fixed",'Loan Terms'!$H$17,V196))</f>
        <v/>
      </c>
      <c r="G196" s="12" t="str">
        <f t="shared" si="18"/>
        <v/>
      </c>
      <c r="H196" s="12" t="str">
        <f>IF(G196="","",IF('Loan Terms'!$C$13="Fixed",(E196="Yes")*J196+(E196="No")*'Loan Terms'!$H$19,PMT(F196/12,'Loan Terms'!$G$11-B196+1,-G196)))</f>
        <v/>
      </c>
      <c r="I196" s="12" t="str">
        <f>IF(B196="","",IF(B196='Loan Terms'!$H$9*12,G196,H196-J196))</f>
        <v/>
      </c>
      <c r="J196" s="130" t="str">
        <f>IF(B196="","",IF('Loan Terms'!$H$15="Actual/365",F196*(C196/365),F196*(C196/360))*G196)</f>
        <v/>
      </c>
      <c r="K196" s="12" t="str">
        <f t="shared" si="15"/>
        <v/>
      </c>
      <c r="L196" s="130" t="str">
        <f t="shared" si="19"/>
        <v/>
      </c>
      <c r="N196" s="14" t="str">
        <f t="shared" si="20"/>
        <v/>
      </c>
      <c r="S196" s="217" t="str">
        <f t="shared" si="16"/>
        <v/>
      </c>
      <c r="T196" s="218" t="str">
        <f t="shared" si="22"/>
        <v/>
      </c>
      <c r="U196" s="219" t="str">
        <f>IF(S196="","",'Loan Terms'!$H$14)</f>
        <v/>
      </c>
      <c r="V196" s="220" t="str">
        <f t="shared" si="21"/>
        <v/>
      </c>
    </row>
    <row r="197" spans="2:22" ht="14.25" customHeight="1" x14ac:dyDescent="0.2">
      <c r="B197" s="126" t="str">
        <f>IF(OR(B196="",B196='Loan Terms'!$H$9*12),"",B196+1)</f>
        <v/>
      </c>
      <c r="C197" s="128" t="str">
        <f>IF(B197="","",IF('Loan Terms'!$H$15="30/360",30,D197-D196))</f>
        <v/>
      </c>
      <c r="D197" s="129" t="str">
        <f t="shared" si="17"/>
        <v/>
      </c>
      <c r="E197" s="129" t="str">
        <f>IF(B197="","",IF(B197&lt;='Loan Terms'!$G$10,"Yes","No"))</f>
        <v/>
      </c>
      <c r="F197" s="101" t="str">
        <f>IF(B197="","",IF('Loan Terms'!$C$13="Fixed",'Loan Terms'!$H$17,V197))</f>
        <v/>
      </c>
      <c r="G197" s="12" t="str">
        <f t="shared" si="18"/>
        <v/>
      </c>
      <c r="H197" s="12" t="str">
        <f>IF(G197="","",IF('Loan Terms'!$C$13="Fixed",(E197="Yes")*J197+(E197="No")*'Loan Terms'!$H$19,PMT(F197/12,'Loan Terms'!$G$11-B197+1,-G197)))</f>
        <v/>
      </c>
      <c r="I197" s="12" t="str">
        <f>IF(B197="","",IF(B197='Loan Terms'!$H$9*12,G197,H197-J197))</f>
        <v/>
      </c>
      <c r="J197" s="130" t="str">
        <f>IF(B197="","",IF('Loan Terms'!$H$15="Actual/365",F197*(C197/365),F197*(C197/360))*G197)</f>
        <v/>
      </c>
      <c r="K197" s="12" t="str">
        <f t="shared" si="15"/>
        <v/>
      </c>
      <c r="L197" s="130" t="str">
        <f t="shared" si="19"/>
        <v/>
      </c>
      <c r="N197" s="14" t="str">
        <f t="shared" si="20"/>
        <v/>
      </c>
      <c r="S197" s="217" t="str">
        <f t="shared" si="16"/>
        <v/>
      </c>
      <c r="T197" s="218" t="str">
        <f t="shared" si="22"/>
        <v/>
      </c>
      <c r="U197" s="219" t="str">
        <f>IF(S197="","",'Loan Terms'!$H$14)</f>
        <v/>
      </c>
      <c r="V197" s="220" t="str">
        <f t="shared" si="21"/>
        <v/>
      </c>
    </row>
    <row r="198" spans="2:22" ht="14.25" customHeight="1" x14ac:dyDescent="0.2">
      <c r="B198" s="126" t="str">
        <f>IF(OR(B197="",B197='Loan Terms'!$H$9*12),"",B197+1)</f>
        <v/>
      </c>
      <c r="C198" s="128" t="str">
        <f>IF(B198="","",IF('Loan Terms'!$H$15="30/360",30,D198-D197))</f>
        <v/>
      </c>
      <c r="D198" s="129" t="str">
        <f t="shared" si="17"/>
        <v/>
      </c>
      <c r="E198" s="129" t="str">
        <f>IF(B198="","",IF(B198&lt;='Loan Terms'!$G$10,"Yes","No"))</f>
        <v/>
      </c>
      <c r="F198" s="101" t="str">
        <f>IF(B198="","",IF('Loan Terms'!$C$13="Fixed",'Loan Terms'!$H$17,V198))</f>
        <v/>
      </c>
      <c r="G198" s="12" t="str">
        <f t="shared" si="18"/>
        <v/>
      </c>
      <c r="H198" s="12" t="str">
        <f>IF(G198="","",IF('Loan Terms'!$C$13="Fixed",(E198="Yes")*J198+(E198="No")*'Loan Terms'!$H$19,PMT(F198/12,'Loan Terms'!$G$11-B198+1,-G198)))</f>
        <v/>
      </c>
      <c r="I198" s="12" t="str">
        <f>IF(B198="","",IF(B198='Loan Terms'!$H$9*12,G198,H198-J198))</f>
        <v/>
      </c>
      <c r="J198" s="130" t="str">
        <f>IF(B198="","",IF('Loan Terms'!$H$15="Actual/365",F198*(C198/365),F198*(C198/360))*G198)</f>
        <v/>
      </c>
      <c r="K198" s="12" t="str">
        <f t="shared" ref="K198:K261" si="23">IF(B198="","",G198-I198)</f>
        <v/>
      </c>
      <c r="L198" s="130" t="str">
        <f t="shared" si="19"/>
        <v/>
      </c>
      <c r="N198" s="14" t="str">
        <f t="shared" si="20"/>
        <v/>
      </c>
      <c r="S198" s="217" t="str">
        <f t="shared" ref="S198:S261" si="24">D198</f>
        <v/>
      </c>
      <c r="T198" s="218" t="str">
        <f t="shared" si="22"/>
        <v/>
      </c>
      <c r="U198" s="219" t="str">
        <f>IF(S198="","",'Loan Terms'!$H$14)</f>
        <v/>
      </c>
      <c r="V198" s="220" t="str">
        <f t="shared" si="21"/>
        <v/>
      </c>
    </row>
    <row r="199" spans="2:22" ht="14.25" customHeight="1" x14ac:dyDescent="0.2">
      <c r="B199" s="126" t="str">
        <f>IF(OR(B198="",B198='Loan Terms'!$H$9*12),"",B198+1)</f>
        <v/>
      </c>
      <c r="C199" s="128" t="str">
        <f>IF(B199="","",IF('Loan Terms'!$H$15="30/360",30,D199-D198))</f>
        <v/>
      </c>
      <c r="D199" s="129" t="str">
        <f t="shared" ref="D199:D262" si="25">IF(B199="","",EDATE(D198,1))</f>
        <v/>
      </c>
      <c r="E199" s="129" t="str">
        <f>IF(B199="","",IF(B199&lt;='Loan Terms'!$G$10,"Yes","No"))</f>
        <v/>
      </c>
      <c r="F199" s="101" t="str">
        <f>IF(B199="","",IF('Loan Terms'!$C$13="Fixed",'Loan Terms'!$H$17,V199))</f>
        <v/>
      </c>
      <c r="G199" s="12" t="str">
        <f t="shared" ref="G199:G262" si="26">IF(B199="","",K198)</f>
        <v/>
      </c>
      <c r="H199" s="12" t="str">
        <f>IF(G199="","",IF('Loan Terms'!$C$13="Fixed",(E199="Yes")*J199+(E199="No")*'Loan Terms'!$H$19,PMT(F199/12,'Loan Terms'!$G$11-B199+1,-G199)))</f>
        <v/>
      </c>
      <c r="I199" s="12" t="str">
        <f>IF(B199="","",IF(B199='Loan Terms'!$H$9*12,G199,H199-J199))</f>
        <v/>
      </c>
      <c r="J199" s="130" t="str">
        <f>IF(B199="","",IF('Loan Terms'!$H$15="Actual/365",F199*(C199/365),F199*(C199/360))*G199)</f>
        <v/>
      </c>
      <c r="K199" s="12" t="str">
        <f t="shared" si="23"/>
        <v/>
      </c>
      <c r="L199" s="130" t="str">
        <f t="shared" ref="L199:L262" si="27">IF(B199="","",J199+I199)</f>
        <v/>
      </c>
      <c r="N199" s="14" t="str">
        <f t="shared" ref="N199:N262" si="28">IF(B199="","",I199*B199)</f>
        <v/>
      </c>
      <c r="S199" s="217" t="str">
        <f t="shared" si="24"/>
        <v/>
      </c>
      <c r="T199" s="218" t="str">
        <f t="shared" si="22"/>
        <v/>
      </c>
      <c r="U199" s="219" t="str">
        <f>IF(S199="","",'Loan Terms'!$H$14)</f>
        <v/>
      </c>
      <c r="V199" s="220" t="str">
        <f t="shared" ref="V199:V262" si="29">IF(S199="","",T199+U199/10000)</f>
        <v/>
      </c>
    </row>
    <row r="200" spans="2:22" ht="14.25" customHeight="1" x14ac:dyDescent="0.2">
      <c r="B200" s="126" t="str">
        <f>IF(OR(B199="",B199='Loan Terms'!$H$9*12),"",B199+1)</f>
        <v/>
      </c>
      <c r="C200" s="128" t="str">
        <f>IF(B200="","",IF('Loan Terms'!$H$15="30/360",30,D200-D199))</f>
        <v/>
      </c>
      <c r="D200" s="129" t="str">
        <f t="shared" si="25"/>
        <v/>
      </c>
      <c r="E200" s="129" t="str">
        <f>IF(B200="","",IF(B200&lt;='Loan Terms'!$G$10,"Yes","No"))</f>
        <v/>
      </c>
      <c r="F200" s="101" t="str">
        <f>IF(B200="","",IF('Loan Terms'!$C$13="Fixed",'Loan Terms'!$H$17,V200))</f>
        <v/>
      </c>
      <c r="G200" s="12" t="str">
        <f t="shared" si="26"/>
        <v/>
      </c>
      <c r="H200" s="12" t="str">
        <f>IF(G200="","",IF('Loan Terms'!$C$13="Fixed",(E200="Yes")*J200+(E200="No")*'Loan Terms'!$H$19,PMT(F200/12,'Loan Terms'!$G$11-B200+1,-G200)))</f>
        <v/>
      </c>
      <c r="I200" s="12" t="str">
        <f>IF(B200="","",IF(B200='Loan Terms'!$H$9*12,G200,H200-J200))</f>
        <v/>
      </c>
      <c r="J200" s="130" t="str">
        <f>IF(B200="","",IF('Loan Terms'!$H$15="Actual/365",F200*(C200/365),F200*(C200/360))*G200)</f>
        <v/>
      </c>
      <c r="K200" s="12" t="str">
        <f t="shared" si="23"/>
        <v/>
      </c>
      <c r="L200" s="130" t="str">
        <f t="shared" si="27"/>
        <v/>
      </c>
      <c r="N200" s="14" t="str">
        <f t="shared" si="28"/>
        <v/>
      </c>
      <c r="S200" s="217" t="str">
        <f t="shared" si="24"/>
        <v/>
      </c>
      <c r="T200" s="218" t="str">
        <f t="shared" si="22"/>
        <v/>
      </c>
      <c r="U200" s="219" t="str">
        <f>IF(S200="","",'Loan Terms'!$H$14)</f>
        <v/>
      </c>
      <c r="V200" s="220" t="str">
        <f t="shared" si="29"/>
        <v/>
      </c>
    </row>
    <row r="201" spans="2:22" ht="14.25" customHeight="1" x14ac:dyDescent="0.2">
      <c r="B201" s="126" t="str">
        <f>IF(OR(B200="",B200='Loan Terms'!$H$9*12),"",B200+1)</f>
        <v/>
      </c>
      <c r="C201" s="128" t="str">
        <f>IF(B201="","",IF('Loan Terms'!$H$15="30/360",30,D201-D200))</f>
        <v/>
      </c>
      <c r="D201" s="129" t="str">
        <f t="shared" si="25"/>
        <v/>
      </c>
      <c r="E201" s="129" t="str">
        <f>IF(B201="","",IF(B201&lt;='Loan Terms'!$G$10,"Yes","No"))</f>
        <v/>
      </c>
      <c r="F201" s="101" t="str">
        <f>IF(B201="","",IF('Loan Terms'!$C$13="Fixed",'Loan Terms'!$H$17,V201))</f>
        <v/>
      </c>
      <c r="G201" s="12" t="str">
        <f t="shared" si="26"/>
        <v/>
      </c>
      <c r="H201" s="12" t="str">
        <f>IF(G201="","",IF('Loan Terms'!$C$13="Fixed",(E201="Yes")*J201+(E201="No")*'Loan Terms'!$H$19,PMT(F201/12,'Loan Terms'!$G$11-B201+1,-G201)))</f>
        <v/>
      </c>
      <c r="I201" s="12" t="str">
        <f>IF(B201="","",IF(B201='Loan Terms'!$H$9*12,G201,H201-J201))</f>
        <v/>
      </c>
      <c r="J201" s="130" t="str">
        <f>IF(B201="","",IF('Loan Terms'!$H$15="Actual/365",F201*(C201/365),F201*(C201/360))*G201)</f>
        <v/>
      </c>
      <c r="K201" s="12" t="str">
        <f t="shared" si="23"/>
        <v/>
      </c>
      <c r="L201" s="130" t="str">
        <f t="shared" si="27"/>
        <v/>
      </c>
      <c r="N201" s="14" t="str">
        <f t="shared" si="28"/>
        <v/>
      </c>
      <c r="S201" s="217" t="str">
        <f t="shared" si="24"/>
        <v/>
      </c>
      <c r="T201" s="218" t="str">
        <f t="shared" si="22"/>
        <v/>
      </c>
      <c r="U201" s="219" t="str">
        <f>IF(S201="","",'Loan Terms'!$H$14)</f>
        <v/>
      </c>
      <c r="V201" s="220" t="str">
        <f t="shared" si="29"/>
        <v/>
      </c>
    </row>
    <row r="202" spans="2:22" ht="14.25" customHeight="1" x14ac:dyDescent="0.2">
      <c r="B202" s="126" t="str">
        <f>IF(OR(B201="",B201='Loan Terms'!$H$9*12),"",B201+1)</f>
        <v/>
      </c>
      <c r="C202" s="128" t="str">
        <f>IF(B202="","",IF('Loan Terms'!$H$15="30/360",30,D202-D201))</f>
        <v/>
      </c>
      <c r="D202" s="129" t="str">
        <f t="shared" si="25"/>
        <v/>
      </c>
      <c r="E202" s="129" t="str">
        <f>IF(B202="","",IF(B202&lt;='Loan Terms'!$G$10,"Yes","No"))</f>
        <v/>
      </c>
      <c r="F202" s="101" t="str">
        <f>IF(B202="","",IF('Loan Terms'!$C$13="Fixed",'Loan Terms'!$H$17,V202))</f>
        <v/>
      </c>
      <c r="G202" s="12" t="str">
        <f t="shared" si="26"/>
        <v/>
      </c>
      <c r="H202" s="12" t="str">
        <f>IF(G202="","",IF('Loan Terms'!$C$13="Fixed",(E202="Yes")*J202+(E202="No")*'Loan Terms'!$H$19,PMT(F202/12,'Loan Terms'!$G$11-B202+1,-G202)))</f>
        <v/>
      </c>
      <c r="I202" s="12" t="str">
        <f>IF(B202="","",IF(B202='Loan Terms'!$H$9*12,G202,H202-J202))</f>
        <v/>
      </c>
      <c r="J202" s="130" t="str">
        <f>IF(B202="","",IF('Loan Terms'!$H$15="Actual/365",F202*(C202/365),F202*(C202/360))*G202)</f>
        <v/>
      </c>
      <c r="K202" s="12" t="str">
        <f t="shared" si="23"/>
        <v/>
      </c>
      <c r="L202" s="130" t="str">
        <f t="shared" si="27"/>
        <v/>
      </c>
      <c r="N202" s="14" t="str">
        <f t="shared" si="28"/>
        <v/>
      </c>
      <c r="S202" s="217" t="str">
        <f t="shared" si="24"/>
        <v/>
      </c>
      <c r="T202" s="218" t="str">
        <f t="shared" si="22"/>
        <v/>
      </c>
      <c r="U202" s="219" t="str">
        <f>IF(S202="","",'Loan Terms'!$H$14)</f>
        <v/>
      </c>
      <c r="V202" s="220" t="str">
        <f t="shared" si="29"/>
        <v/>
      </c>
    </row>
    <row r="203" spans="2:22" ht="14.25" customHeight="1" x14ac:dyDescent="0.2">
      <c r="B203" s="126" t="str">
        <f>IF(OR(B202="",B202='Loan Terms'!$H$9*12),"",B202+1)</f>
        <v/>
      </c>
      <c r="C203" s="128" t="str">
        <f>IF(B203="","",IF('Loan Terms'!$H$15="30/360",30,D203-D202))</f>
        <v/>
      </c>
      <c r="D203" s="129" t="str">
        <f t="shared" si="25"/>
        <v/>
      </c>
      <c r="E203" s="129" t="str">
        <f>IF(B203="","",IF(B203&lt;='Loan Terms'!$G$10,"Yes","No"))</f>
        <v/>
      </c>
      <c r="F203" s="101" t="str">
        <f>IF(B203="","",IF('Loan Terms'!$C$13="Fixed",'Loan Terms'!$H$17,V203))</f>
        <v/>
      </c>
      <c r="G203" s="12" t="str">
        <f t="shared" si="26"/>
        <v/>
      </c>
      <c r="H203" s="12" t="str">
        <f>IF(G203="","",IF('Loan Terms'!$C$13="Fixed",(E203="Yes")*J203+(E203="No")*'Loan Terms'!$H$19,PMT(F203/12,'Loan Terms'!$G$11-B203+1,-G203)))</f>
        <v/>
      </c>
      <c r="I203" s="12" t="str">
        <f>IF(B203="","",IF(B203='Loan Terms'!$H$9*12,G203,H203-J203))</f>
        <v/>
      </c>
      <c r="J203" s="130" t="str">
        <f>IF(B203="","",IF('Loan Terms'!$H$15="Actual/365",F203*(C203/365),F203*(C203/360))*G203)</f>
        <v/>
      </c>
      <c r="K203" s="12" t="str">
        <f t="shared" si="23"/>
        <v/>
      </c>
      <c r="L203" s="130" t="str">
        <f t="shared" si="27"/>
        <v/>
      </c>
      <c r="N203" s="14" t="str">
        <f t="shared" si="28"/>
        <v/>
      </c>
      <c r="S203" s="217" t="str">
        <f t="shared" si="24"/>
        <v/>
      </c>
      <c r="T203" s="218" t="str">
        <f t="shared" si="22"/>
        <v/>
      </c>
      <c r="U203" s="219" t="str">
        <f>IF(S203="","",'Loan Terms'!$H$14)</f>
        <v/>
      </c>
      <c r="V203" s="220" t="str">
        <f t="shared" si="29"/>
        <v/>
      </c>
    </row>
    <row r="204" spans="2:22" ht="14.25" customHeight="1" x14ac:dyDescent="0.2">
      <c r="B204" s="126" t="str">
        <f>IF(OR(B203="",B203='Loan Terms'!$H$9*12),"",B203+1)</f>
        <v/>
      </c>
      <c r="C204" s="128" t="str">
        <f>IF(B204="","",IF('Loan Terms'!$H$15="30/360",30,D204-D203))</f>
        <v/>
      </c>
      <c r="D204" s="129" t="str">
        <f t="shared" si="25"/>
        <v/>
      </c>
      <c r="E204" s="129" t="str">
        <f>IF(B204="","",IF(B204&lt;='Loan Terms'!$G$10,"Yes","No"))</f>
        <v/>
      </c>
      <c r="F204" s="101" t="str">
        <f>IF(B204="","",IF('Loan Terms'!$C$13="Fixed",'Loan Terms'!$H$17,V204))</f>
        <v/>
      </c>
      <c r="G204" s="12" t="str">
        <f t="shared" si="26"/>
        <v/>
      </c>
      <c r="H204" s="12" t="str">
        <f>IF(G204="","",IF('Loan Terms'!$C$13="Fixed",(E204="Yes")*J204+(E204="No")*'Loan Terms'!$H$19,PMT(F204/12,'Loan Terms'!$G$11-B204+1,-G204)))</f>
        <v/>
      </c>
      <c r="I204" s="12" t="str">
        <f>IF(B204="","",IF(B204='Loan Terms'!$H$9*12,G204,H204-J204))</f>
        <v/>
      </c>
      <c r="J204" s="130" t="str">
        <f>IF(B204="","",IF('Loan Terms'!$H$15="Actual/365",F204*(C204/365),F204*(C204/360))*G204)</f>
        <v/>
      </c>
      <c r="K204" s="12" t="str">
        <f t="shared" si="23"/>
        <v/>
      </c>
      <c r="L204" s="130" t="str">
        <f t="shared" si="27"/>
        <v/>
      </c>
      <c r="N204" s="14" t="str">
        <f t="shared" si="28"/>
        <v/>
      </c>
      <c r="S204" s="217" t="str">
        <f t="shared" si="24"/>
        <v/>
      </c>
      <c r="T204" s="218" t="str">
        <f t="shared" si="22"/>
        <v/>
      </c>
      <c r="U204" s="219" t="str">
        <f>IF(S204="","",'Loan Terms'!$H$14)</f>
        <v/>
      </c>
      <c r="V204" s="220" t="str">
        <f t="shared" si="29"/>
        <v/>
      </c>
    </row>
    <row r="205" spans="2:22" ht="14.25" customHeight="1" x14ac:dyDescent="0.2">
      <c r="B205" s="126" t="str">
        <f>IF(OR(B204="",B204='Loan Terms'!$H$9*12),"",B204+1)</f>
        <v/>
      </c>
      <c r="C205" s="128" t="str">
        <f>IF(B205="","",IF('Loan Terms'!$H$15="30/360",30,D205-D204))</f>
        <v/>
      </c>
      <c r="D205" s="129" t="str">
        <f t="shared" si="25"/>
        <v/>
      </c>
      <c r="E205" s="129" t="str">
        <f>IF(B205="","",IF(B205&lt;='Loan Terms'!$G$10,"Yes","No"))</f>
        <v/>
      </c>
      <c r="F205" s="101" t="str">
        <f>IF(B205="","",IF('Loan Terms'!$C$13="Fixed",'Loan Terms'!$H$17,V205))</f>
        <v/>
      </c>
      <c r="G205" s="12" t="str">
        <f t="shared" si="26"/>
        <v/>
      </c>
      <c r="H205" s="12" t="str">
        <f>IF(G205="","",IF('Loan Terms'!$C$13="Fixed",(E205="Yes")*J205+(E205="No")*'Loan Terms'!$H$19,PMT(F205/12,'Loan Terms'!$G$11-B205+1,-G205)))</f>
        <v/>
      </c>
      <c r="I205" s="12" t="str">
        <f>IF(B205="","",IF(B205='Loan Terms'!$H$9*12,G205,H205-J205))</f>
        <v/>
      </c>
      <c r="J205" s="130" t="str">
        <f>IF(B205="","",IF('Loan Terms'!$H$15="Actual/365",F205*(C205/365),F205*(C205/360))*G205)</f>
        <v/>
      </c>
      <c r="K205" s="12" t="str">
        <f t="shared" si="23"/>
        <v/>
      </c>
      <c r="L205" s="130" t="str">
        <f t="shared" si="27"/>
        <v/>
      </c>
      <c r="N205" s="14" t="str">
        <f t="shared" si="28"/>
        <v/>
      </c>
      <c r="S205" s="217" t="str">
        <f t="shared" si="24"/>
        <v/>
      </c>
      <c r="T205" s="218" t="str">
        <f t="shared" si="22"/>
        <v/>
      </c>
      <c r="U205" s="219" t="str">
        <f>IF(S205="","",'Loan Terms'!$H$14)</f>
        <v/>
      </c>
      <c r="V205" s="220" t="str">
        <f t="shared" si="29"/>
        <v/>
      </c>
    </row>
    <row r="206" spans="2:22" ht="14.25" customHeight="1" x14ac:dyDescent="0.2">
      <c r="B206" s="126" t="str">
        <f>IF(OR(B205="",B205='Loan Terms'!$H$9*12),"",B205+1)</f>
        <v/>
      </c>
      <c r="C206" s="128" t="str">
        <f>IF(B206="","",IF('Loan Terms'!$H$15="30/360",30,D206-D205))</f>
        <v/>
      </c>
      <c r="D206" s="129" t="str">
        <f t="shared" si="25"/>
        <v/>
      </c>
      <c r="E206" s="129" t="str">
        <f>IF(B206="","",IF(B206&lt;='Loan Terms'!$G$10,"Yes","No"))</f>
        <v/>
      </c>
      <c r="F206" s="101" t="str">
        <f>IF(B206="","",IF('Loan Terms'!$C$13="Fixed",'Loan Terms'!$H$17,V206))</f>
        <v/>
      </c>
      <c r="G206" s="12" t="str">
        <f t="shared" si="26"/>
        <v/>
      </c>
      <c r="H206" s="12" t="str">
        <f>IF(G206="","",IF('Loan Terms'!$C$13="Fixed",(E206="Yes")*J206+(E206="No")*'Loan Terms'!$H$19,PMT(F206/12,'Loan Terms'!$G$11-B206+1,-G206)))</f>
        <v/>
      </c>
      <c r="I206" s="12" t="str">
        <f>IF(B206="","",IF(B206='Loan Terms'!$H$9*12,G206,H206-J206))</f>
        <v/>
      </c>
      <c r="J206" s="130" t="str">
        <f>IF(B206="","",IF('Loan Terms'!$H$15="Actual/365",F206*(C206/365),F206*(C206/360))*G206)</f>
        <v/>
      </c>
      <c r="K206" s="12" t="str">
        <f t="shared" si="23"/>
        <v/>
      </c>
      <c r="L206" s="130" t="str">
        <f t="shared" si="27"/>
        <v/>
      </c>
      <c r="N206" s="14" t="str">
        <f t="shared" si="28"/>
        <v/>
      </c>
      <c r="S206" s="217" t="str">
        <f t="shared" si="24"/>
        <v/>
      </c>
      <c r="T206" s="218" t="str">
        <f t="shared" si="22"/>
        <v/>
      </c>
      <c r="U206" s="219" t="str">
        <f>IF(S206="","",'Loan Terms'!$H$14)</f>
        <v/>
      </c>
      <c r="V206" s="220" t="str">
        <f t="shared" si="29"/>
        <v/>
      </c>
    </row>
    <row r="207" spans="2:22" ht="14.25" customHeight="1" x14ac:dyDescent="0.2">
      <c r="B207" s="126" t="str">
        <f>IF(OR(B206="",B206='Loan Terms'!$H$9*12),"",B206+1)</f>
        <v/>
      </c>
      <c r="C207" s="128" t="str">
        <f>IF(B207="","",IF('Loan Terms'!$H$15="30/360",30,D207-D206))</f>
        <v/>
      </c>
      <c r="D207" s="129" t="str">
        <f t="shared" si="25"/>
        <v/>
      </c>
      <c r="E207" s="129" t="str">
        <f>IF(B207="","",IF(B207&lt;='Loan Terms'!$G$10,"Yes","No"))</f>
        <v/>
      </c>
      <c r="F207" s="101" t="str">
        <f>IF(B207="","",IF('Loan Terms'!$C$13="Fixed",'Loan Terms'!$H$17,V207))</f>
        <v/>
      </c>
      <c r="G207" s="12" t="str">
        <f t="shared" si="26"/>
        <v/>
      </c>
      <c r="H207" s="12" t="str">
        <f>IF(G207="","",IF('Loan Terms'!$C$13="Fixed",(E207="Yes")*J207+(E207="No")*'Loan Terms'!$H$19,PMT(F207/12,'Loan Terms'!$G$11-B207+1,-G207)))</f>
        <v/>
      </c>
      <c r="I207" s="12" t="str">
        <f>IF(B207="","",IF(B207='Loan Terms'!$H$9*12,G207,H207-J207))</f>
        <v/>
      </c>
      <c r="J207" s="130" t="str">
        <f>IF(B207="","",IF('Loan Terms'!$H$15="Actual/365",F207*(C207/365),F207*(C207/360))*G207)</f>
        <v/>
      </c>
      <c r="K207" s="12" t="str">
        <f t="shared" si="23"/>
        <v/>
      </c>
      <c r="L207" s="130" t="str">
        <f t="shared" si="27"/>
        <v/>
      </c>
      <c r="N207" s="14" t="str">
        <f t="shared" si="28"/>
        <v/>
      </c>
      <c r="S207" s="217" t="str">
        <f t="shared" si="24"/>
        <v/>
      </c>
      <c r="T207" s="218" t="str">
        <f t="shared" si="22"/>
        <v/>
      </c>
      <c r="U207" s="219" t="str">
        <f>IF(S207="","",'Loan Terms'!$H$14)</f>
        <v/>
      </c>
      <c r="V207" s="220" t="str">
        <f t="shared" si="29"/>
        <v/>
      </c>
    </row>
    <row r="208" spans="2:22" ht="14.25" customHeight="1" x14ac:dyDescent="0.2">
      <c r="B208" s="126" t="str">
        <f>IF(OR(B207="",B207='Loan Terms'!$H$9*12),"",B207+1)</f>
        <v/>
      </c>
      <c r="C208" s="128" t="str">
        <f>IF(B208="","",IF('Loan Terms'!$H$15="30/360",30,D208-D207))</f>
        <v/>
      </c>
      <c r="D208" s="129" t="str">
        <f t="shared" si="25"/>
        <v/>
      </c>
      <c r="E208" s="129" t="str">
        <f>IF(B208="","",IF(B208&lt;='Loan Terms'!$G$10,"Yes","No"))</f>
        <v/>
      </c>
      <c r="F208" s="101" t="str">
        <f>IF(B208="","",IF('Loan Terms'!$C$13="Fixed",'Loan Terms'!$H$17,V208))</f>
        <v/>
      </c>
      <c r="G208" s="12" t="str">
        <f t="shared" si="26"/>
        <v/>
      </c>
      <c r="H208" s="12" t="str">
        <f>IF(G208="","",IF('Loan Terms'!$C$13="Fixed",(E208="Yes")*J208+(E208="No")*'Loan Terms'!$H$19,PMT(F208/12,'Loan Terms'!$G$11-B208+1,-G208)))</f>
        <v/>
      </c>
      <c r="I208" s="12" t="str">
        <f>IF(B208="","",IF(B208='Loan Terms'!$H$9*12,G208,H208-J208))</f>
        <v/>
      </c>
      <c r="J208" s="130" t="str">
        <f>IF(B208="","",IF('Loan Terms'!$H$15="Actual/365",F208*(C208/365),F208*(C208/360))*G208)</f>
        <v/>
      </c>
      <c r="K208" s="12" t="str">
        <f t="shared" si="23"/>
        <v/>
      </c>
      <c r="L208" s="130" t="str">
        <f t="shared" si="27"/>
        <v/>
      </c>
      <c r="N208" s="14" t="str">
        <f t="shared" si="28"/>
        <v/>
      </c>
      <c r="S208" s="217" t="str">
        <f t="shared" si="24"/>
        <v/>
      </c>
      <c r="T208" s="218" t="str">
        <f t="shared" si="22"/>
        <v/>
      </c>
      <c r="U208" s="219" t="str">
        <f>IF(S208="","",'Loan Terms'!$H$14)</f>
        <v/>
      </c>
      <c r="V208" s="220" t="str">
        <f t="shared" si="29"/>
        <v/>
      </c>
    </row>
    <row r="209" spans="2:22" ht="14.25" customHeight="1" x14ac:dyDescent="0.2">
      <c r="B209" s="126" t="str">
        <f>IF(OR(B208="",B208='Loan Terms'!$H$9*12),"",B208+1)</f>
        <v/>
      </c>
      <c r="C209" s="128" t="str">
        <f>IF(B209="","",IF('Loan Terms'!$H$15="30/360",30,D209-D208))</f>
        <v/>
      </c>
      <c r="D209" s="129" t="str">
        <f t="shared" si="25"/>
        <v/>
      </c>
      <c r="E209" s="129" t="str">
        <f>IF(B209="","",IF(B209&lt;='Loan Terms'!$G$10,"Yes","No"))</f>
        <v/>
      </c>
      <c r="F209" s="101" t="str">
        <f>IF(B209="","",IF('Loan Terms'!$C$13="Fixed",'Loan Terms'!$H$17,V209))</f>
        <v/>
      </c>
      <c r="G209" s="12" t="str">
        <f t="shared" si="26"/>
        <v/>
      </c>
      <c r="H209" s="12" t="str">
        <f>IF(G209="","",IF('Loan Terms'!$C$13="Fixed",(E209="Yes")*J209+(E209="No")*'Loan Terms'!$H$19,PMT(F209/12,'Loan Terms'!$G$11-B209+1,-G209)))</f>
        <v/>
      </c>
      <c r="I209" s="12" t="str">
        <f>IF(B209="","",IF(B209='Loan Terms'!$H$9*12,G209,H209-J209))</f>
        <v/>
      </c>
      <c r="J209" s="130" t="str">
        <f>IF(B209="","",IF('Loan Terms'!$H$15="Actual/365",F209*(C209/365),F209*(C209/360))*G209)</f>
        <v/>
      </c>
      <c r="K209" s="12" t="str">
        <f t="shared" si="23"/>
        <v/>
      </c>
      <c r="L209" s="130" t="str">
        <f t="shared" si="27"/>
        <v/>
      </c>
      <c r="N209" s="14" t="str">
        <f t="shared" si="28"/>
        <v/>
      </c>
      <c r="S209" s="217" t="str">
        <f t="shared" si="24"/>
        <v/>
      </c>
      <c r="T209" s="218" t="str">
        <f t="shared" si="22"/>
        <v/>
      </c>
      <c r="U209" s="219" t="str">
        <f>IF(S209="","",'Loan Terms'!$H$14)</f>
        <v/>
      </c>
      <c r="V209" s="220" t="str">
        <f t="shared" si="29"/>
        <v/>
      </c>
    </row>
    <row r="210" spans="2:22" ht="14.25" customHeight="1" x14ac:dyDescent="0.2">
      <c r="B210" s="126" t="str">
        <f>IF(OR(B209="",B209='Loan Terms'!$H$9*12),"",B209+1)</f>
        <v/>
      </c>
      <c r="C210" s="128" t="str">
        <f>IF(B210="","",IF('Loan Terms'!$H$15="30/360",30,D210-D209))</f>
        <v/>
      </c>
      <c r="D210" s="129" t="str">
        <f t="shared" si="25"/>
        <v/>
      </c>
      <c r="E210" s="129" t="str">
        <f>IF(B210="","",IF(B210&lt;='Loan Terms'!$G$10,"Yes","No"))</f>
        <v/>
      </c>
      <c r="F210" s="101" t="str">
        <f>IF(B210="","",IF('Loan Terms'!$C$13="Fixed",'Loan Terms'!$H$17,V210))</f>
        <v/>
      </c>
      <c r="G210" s="12" t="str">
        <f t="shared" si="26"/>
        <v/>
      </c>
      <c r="H210" s="12" t="str">
        <f>IF(G210="","",IF('Loan Terms'!$C$13="Fixed",(E210="Yes")*J210+(E210="No")*'Loan Terms'!$H$19,PMT(F210/12,'Loan Terms'!$G$11-B210+1,-G210)))</f>
        <v/>
      </c>
      <c r="I210" s="12" t="str">
        <f>IF(B210="","",IF(B210='Loan Terms'!$H$9*12,G210,H210-J210))</f>
        <v/>
      </c>
      <c r="J210" s="130" t="str">
        <f>IF(B210="","",IF('Loan Terms'!$H$15="Actual/365",F210*(C210/365),F210*(C210/360))*G210)</f>
        <v/>
      </c>
      <c r="K210" s="12" t="str">
        <f t="shared" si="23"/>
        <v/>
      </c>
      <c r="L210" s="130" t="str">
        <f t="shared" si="27"/>
        <v/>
      </c>
      <c r="N210" s="14" t="str">
        <f t="shared" si="28"/>
        <v/>
      </c>
      <c r="S210" s="217" t="str">
        <f t="shared" si="24"/>
        <v/>
      </c>
      <c r="T210" s="218" t="str">
        <f t="shared" si="22"/>
        <v/>
      </c>
      <c r="U210" s="219" t="str">
        <f>IF(S210="","",'Loan Terms'!$H$14)</f>
        <v/>
      </c>
      <c r="V210" s="220" t="str">
        <f t="shared" si="29"/>
        <v/>
      </c>
    </row>
    <row r="211" spans="2:22" ht="14.25" customHeight="1" x14ac:dyDescent="0.2">
      <c r="B211" s="126" t="str">
        <f>IF(OR(B210="",B210='Loan Terms'!$H$9*12),"",B210+1)</f>
        <v/>
      </c>
      <c r="C211" s="128" t="str">
        <f>IF(B211="","",IF('Loan Terms'!$H$15="30/360",30,D211-D210))</f>
        <v/>
      </c>
      <c r="D211" s="129" t="str">
        <f t="shared" si="25"/>
        <v/>
      </c>
      <c r="E211" s="129" t="str">
        <f>IF(B211="","",IF(B211&lt;='Loan Terms'!$G$10,"Yes","No"))</f>
        <v/>
      </c>
      <c r="F211" s="101" t="str">
        <f>IF(B211="","",IF('Loan Terms'!$C$13="Fixed",'Loan Terms'!$H$17,V211))</f>
        <v/>
      </c>
      <c r="G211" s="12" t="str">
        <f t="shared" si="26"/>
        <v/>
      </c>
      <c r="H211" s="12" t="str">
        <f>IF(G211="","",IF('Loan Terms'!$C$13="Fixed",(E211="Yes")*J211+(E211="No")*'Loan Terms'!$H$19,PMT(F211/12,'Loan Terms'!$G$11-B211+1,-G211)))</f>
        <v/>
      </c>
      <c r="I211" s="12" t="str">
        <f>IF(B211="","",IF(B211='Loan Terms'!$H$9*12,G211,H211-J211))</f>
        <v/>
      </c>
      <c r="J211" s="130" t="str">
        <f>IF(B211="","",IF('Loan Terms'!$H$15="Actual/365",F211*(C211/365),F211*(C211/360))*G211)</f>
        <v/>
      </c>
      <c r="K211" s="12" t="str">
        <f t="shared" si="23"/>
        <v/>
      </c>
      <c r="L211" s="130" t="str">
        <f t="shared" si="27"/>
        <v/>
      </c>
      <c r="N211" s="14" t="str">
        <f t="shared" si="28"/>
        <v/>
      </c>
      <c r="S211" s="217" t="str">
        <f t="shared" si="24"/>
        <v/>
      </c>
      <c r="T211" s="218" t="str">
        <f t="shared" si="22"/>
        <v/>
      </c>
      <c r="U211" s="219" t="str">
        <f>IF(S211="","",'Loan Terms'!$H$14)</f>
        <v/>
      </c>
      <c r="V211" s="220" t="str">
        <f t="shared" si="29"/>
        <v/>
      </c>
    </row>
    <row r="212" spans="2:22" ht="14.25" customHeight="1" x14ac:dyDescent="0.2">
      <c r="B212" s="126" t="str">
        <f>IF(OR(B211="",B211='Loan Terms'!$H$9*12),"",B211+1)</f>
        <v/>
      </c>
      <c r="C212" s="128" t="str">
        <f>IF(B212="","",IF('Loan Terms'!$H$15="30/360",30,D212-D211))</f>
        <v/>
      </c>
      <c r="D212" s="129" t="str">
        <f t="shared" si="25"/>
        <v/>
      </c>
      <c r="E212" s="129" t="str">
        <f>IF(B212="","",IF(B212&lt;='Loan Terms'!$G$10,"Yes","No"))</f>
        <v/>
      </c>
      <c r="F212" s="101" t="str">
        <f>IF(B212="","",IF('Loan Terms'!$C$13="Fixed",'Loan Terms'!$H$17,V212))</f>
        <v/>
      </c>
      <c r="G212" s="12" t="str">
        <f t="shared" si="26"/>
        <v/>
      </c>
      <c r="H212" s="12" t="str">
        <f>IF(G212="","",IF('Loan Terms'!$C$13="Fixed",(E212="Yes")*J212+(E212="No")*'Loan Terms'!$H$19,PMT(F212/12,'Loan Terms'!$G$11-B212+1,-G212)))</f>
        <v/>
      </c>
      <c r="I212" s="12" t="str">
        <f>IF(B212="","",IF(B212='Loan Terms'!$H$9*12,G212,H212-J212))</f>
        <v/>
      </c>
      <c r="J212" s="130" t="str">
        <f>IF(B212="","",IF('Loan Terms'!$H$15="Actual/365",F212*(C212/365),F212*(C212/360))*G212)</f>
        <v/>
      </c>
      <c r="K212" s="12" t="str">
        <f t="shared" si="23"/>
        <v/>
      </c>
      <c r="L212" s="130" t="str">
        <f t="shared" si="27"/>
        <v/>
      </c>
      <c r="N212" s="14" t="str">
        <f t="shared" si="28"/>
        <v/>
      </c>
      <c r="S212" s="217" t="str">
        <f t="shared" si="24"/>
        <v/>
      </c>
      <c r="T212" s="218" t="str">
        <f t="shared" si="22"/>
        <v/>
      </c>
      <c r="U212" s="219" t="str">
        <f>IF(S212="","",'Loan Terms'!$H$14)</f>
        <v/>
      </c>
      <c r="V212" s="220" t="str">
        <f t="shared" si="29"/>
        <v/>
      </c>
    </row>
    <row r="213" spans="2:22" ht="14.25" customHeight="1" x14ac:dyDescent="0.2">
      <c r="B213" s="126" t="str">
        <f>IF(OR(B212="",B212='Loan Terms'!$H$9*12),"",B212+1)</f>
        <v/>
      </c>
      <c r="C213" s="128" t="str">
        <f>IF(B213="","",IF('Loan Terms'!$H$15="30/360",30,D213-D212))</f>
        <v/>
      </c>
      <c r="D213" s="129" t="str">
        <f t="shared" si="25"/>
        <v/>
      </c>
      <c r="E213" s="129" t="str">
        <f>IF(B213="","",IF(B213&lt;='Loan Terms'!$G$10,"Yes","No"))</f>
        <v/>
      </c>
      <c r="F213" s="101" t="str">
        <f>IF(B213="","",IF('Loan Terms'!$C$13="Fixed",'Loan Terms'!$H$17,V213))</f>
        <v/>
      </c>
      <c r="G213" s="12" t="str">
        <f t="shared" si="26"/>
        <v/>
      </c>
      <c r="H213" s="12" t="str">
        <f>IF(G213="","",IF('Loan Terms'!$C$13="Fixed",(E213="Yes")*J213+(E213="No")*'Loan Terms'!$H$19,PMT(F213/12,'Loan Terms'!$G$11-B213+1,-G213)))</f>
        <v/>
      </c>
      <c r="I213" s="12" t="str">
        <f>IF(B213="","",IF(B213='Loan Terms'!$H$9*12,G213,H213-J213))</f>
        <v/>
      </c>
      <c r="J213" s="130" t="str">
        <f>IF(B213="","",IF('Loan Terms'!$H$15="Actual/365",F213*(C213/365),F213*(C213/360))*G213)</f>
        <v/>
      </c>
      <c r="K213" s="12" t="str">
        <f t="shared" si="23"/>
        <v/>
      </c>
      <c r="L213" s="130" t="str">
        <f t="shared" si="27"/>
        <v/>
      </c>
      <c r="N213" s="14" t="str">
        <f t="shared" si="28"/>
        <v/>
      </c>
      <c r="S213" s="217" t="str">
        <f t="shared" si="24"/>
        <v/>
      </c>
      <c r="T213" s="218" t="str">
        <f t="shared" si="22"/>
        <v/>
      </c>
      <c r="U213" s="219" t="str">
        <f>IF(S213="","",'Loan Terms'!$H$14)</f>
        <v/>
      </c>
      <c r="V213" s="220" t="str">
        <f t="shared" si="29"/>
        <v/>
      </c>
    </row>
    <row r="214" spans="2:22" ht="14.25" customHeight="1" x14ac:dyDescent="0.2">
      <c r="B214" s="126" t="str">
        <f>IF(OR(B213="",B213='Loan Terms'!$H$9*12),"",B213+1)</f>
        <v/>
      </c>
      <c r="C214" s="128" t="str">
        <f>IF(B214="","",IF('Loan Terms'!$H$15="30/360",30,D214-D213))</f>
        <v/>
      </c>
      <c r="D214" s="129" t="str">
        <f t="shared" si="25"/>
        <v/>
      </c>
      <c r="E214" s="129" t="str">
        <f>IF(B214="","",IF(B214&lt;='Loan Terms'!$G$10,"Yes","No"))</f>
        <v/>
      </c>
      <c r="F214" s="101" t="str">
        <f>IF(B214="","",IF('Loan Terms'!$C$13="Fixed",'Loan Terms'!$H$17,V214))</f>
        <v/>
      </c>
      <c r="G214" s="12" t="str">
        <f t="shared" si="26"/>
        <v/>
      </c>
      <c r="H214" s="12" t="str">
        <f>IF(G214="","",IF('Loan Terms'!$C$13="Fixed",(E214="Yes")*J214+(E214="No")*'Loan Terms'!$H$19,PMT(F214/12,'Loan Terms'!$G$11-B214+1,-G214)))</f>
        <v/>
      </c>
      <c r="I214" s="12" t="str">
        <f>IF(B214="","",IF(B214='Loan Terms'!$H$9*12,G214,H214-J214))</f>
        <v/>
      </c>
      <c r="J214" s="130" t="str">
        <f>IF(B214="","",IF('Loan Terms'!$H$15="Actual/365",F214*(C214/365),F214*(C214/360))*G214)</f>
        <v/>
      </c>
      <c r="K214" s="12" t="str">
        <f t="shared" si="23"/>
        <v/>
      </c>
      <c r="L214" s="130" t="str">
        <f t="shared" si="27"/>
        <v/>
      </c>
      <c r="N214" s="14" t="str">
        <f t="shared" si="28"/>
        <v/>
      </c>
      <c r="S214" s="217" t="str">
        <f t="shared" si="24"/>
        <v/>
      </c>
      <c r="T214" s="218" t="str">
        <f t="shared" si="22"/>
        <v/>
      </c>
      <c r="U214" s="219" t="str">
        <f>IF(S214="","",'Loan Terms'!$H$14)</f>
        <v/>
      </c>
      <c r="V214" s="220" t="str">
        <f t="shared" si="29"/>
        <v/>
      </c>
    </row>
    <row r="215" spans="2:22" ht="14.25" customHeight="1" x14ac:dyDescent="0.2">
      <c r="B215" s="126" t="str">
        <f>IF(OR(B214="",B214='Loan Terms'!$H$9*12),"",B214+1)</f>
        <v/>
      </c>
      <c r="C215" s="128" t="str">
        <f>IF(B215="","",IF('Loan Terms'!$H$15="30/360",30,D215-D214))</f>
        <v/>
      </c>
      <c r="D215" s="129" t="str">
        <f t="shared" si="25"/>
        <v/>
      </c>
      <c r="E215" s="129" t="str">
        <f>IF(B215="","",IF(B215&lt;='Loan Terms'!$G$10,"Yes","No"))</f>
        <v/>
      </c>
      <c r="F215" s="101" t="str">
        <f>IF(B215="","",IF('Loan Terms'!$C$13="Fixed",'Loan Terms'!$H$17,V215))</f>
        <v/>
      </c>
      <c r="G215" s="12" t="str">
        <f t="shared" si="26"/>
        <v/>
      </c>
      <c r="H215" s="12" t="str">
        <f>IF(G215="","",IF('Loan Terms'!$C$13="Fixed",(E215="Yes")*J215+(E215="No")*'Loan Terms'!$H$19,PMT(F215/12,'Loan Terms'!$G$11-B215+1,-G215)))</f>
        <v/>
      </c>
      <c r="I215" s="12" t="str">
        <f>IF(B215="","",IF(B215='Loan Terms'!$H$9*12,G215,H215-J215))</f>
        <v/>
      </c>
      <c r="J215" s="130" t="str">
        <f>IF(B215="","",IF('Loan Terms'!$H$15="Actual/365",F215*(C215/365),F215*(C215/360))*G215)</f>
        <v/>
      </c>
      <c r="K215" s="12" t="str">
        <f t="shared" si="23"/>
        <v/>
      </c>
      <c r="L215" s="130" t="str">
        <f t="shared" si="27"/>
        <v/>
      </c>
      <c r="N215" s="14" t="str">
        <f t="shared" si="28"/>
        <v/>
      </c>
      <c r="S215" s="217" t="str">
        <f t="shared" si="24"/>
        <v/>
      </c>
      <c r="T215" s="218" t="str">
        <f t="shared" si="22"/>
        <v/>
      </c>
      <c r="U215" s="219" t="str">
        <f>IF(S215="","",'Loan Terms'!$H$14)</f>
        <v/>
      </c>
      <c r="V215" s="220" t="str">
        <f t="shared" si="29"/>
        <v/>
      </c>
    </row>
    <row r="216" spans="2:22" ht="14.25" customHeight="1" x14ac:dyDescent="0.2">
      <c r="B216" s="126" t="str">
        <f>IF(OR(B215="",B215='Loan Terms'!$H$9*12),"",B215+1)</f>
        <v/>
      </c>
      <c r="C216" s="128" t="str">
        <f>IF(B216="","",IF('Loan Terms'!$H$15="30/360",30,D216-D215))</f>
        <v/>
      </c>
      <c r="D216" s="129" t="str">
        <f t="shared" si="25"/>
        <v/>
      </c>
      <c r="E216" s="129" t="str">
        <f>IF(B216="","",IF(B216&lt;='Loan Terms'!$G$10,"Yes","No"))</f>
        <v/>
      </c>
      <c r="F216" s="101" t="str">
        <f>IF(B216="","",IF('Loan Terms'!$C$13="Fixed",'Loan Terms'!$H$17,V216))</f>
        <v/>
      </c>
      <c r="G216" s="12" t="str">
        <f t="shared" si="26"/>
        <v/>
      </c>
      <c r="H216" s="12" t="str">
        <f>IF(G216="","",IF('Loan Terms'!$C$13="Fixed",(E216="Yes")*J216+(E216="No")*'Loan Terms'!$H$19,PMT(F216/12,'Loan Terms'!$G$11-B216+1,-G216)))</f>
        <v/>
      </c>
      <c r="I216" s="12" t="str">
        <f>IF(B216="","",IF(B216='Loan Terms'!$H$9*12,G216,H216-J216))</f>
        <v/>
      </c>
      <c r="J216" s="130" t="str">
        <f>IF(B216="","",IF('Loan Terms'!$H$15="Actual/365",F216*(C216/365),F216*(C216/360))*G216)</f>
        <v/>
      </c>
      <c r="K216" s="12" t="str">
        <f t="shared" si="23"/>
        <v/>
      </c>
      <c r="L216" s="130" t="str">
        <f t="shared" si="27"/>
        <v/>
      </c>
      <c r="N216" s="14" t="str">
        <f t="shared" si="28"/>
        <v/>
      </c>
      <c r="S216" s="217" t="str">
        <f t="shared" si="24"/>
        <v/>
      </c>
      <c r="T216" s="218" t="str">
        <f t="shared" si="22"/>
        <v/>
      </c>
      <c r="U216" s="219" t="str">
        <f>IF(S216="","",'Loan Terms'!$H$14)</f>
        <v/>
      </c>
      <c r="V216" s="220" t="str">
        <f t="shared" si="29"/>
        <v/>
      </c>
    </row>
    <row r="217" spans="2:22" ht="14.25" customHeight="1" x14ac:dyDescent="0.2">
      <c r="B217" s="126" t="str">
        <f>IF(OR(B216="",B216='Loan Terms'!$H$9*12),"",B216+1)</f>
        <v/>
      </c>
      <c r="C217" s="128" t="str">
        <f>IF(B217="","",IF('Loan Terms'!$H$15="30/360",30,D217-D216))</f>
        <v/>
      </c>
      <c r="D217" s="129" t="str">
        <f t="shared" si="25"/>
        <v/>
      </c>
      <c r="E217" s="129" t="str">
        <f>IF(B217="","",IF(B217&lt;='Loan Terms'!$G$10,"Yes","No"))</f>
        <v/>
      </c>
      <c r="F217" s="101" t="str">
        <f>IF(B217="","",IF('Loan Terms'!$C$13="Fixed",'Loan Terms'!$H$17,V217))</f>
        <v/>
      </c>
      <c r="G217" s="12" t="str">
        <f t="shared" si="26"/>
        <v/>
      </c>
      <c r="H217" s="12" t="str">
        <f>IF(G217="","",IF('Loan Terms'!$C$13="Fixed",(E217="Yes")*J217+(E217="No")*'Loan Terms'!$H$19,PMT(F217/12,'Loan Terms'!$G$11-B217+1,-G217)))</f>
        <v/>
      </c>
      <c r="I217" s="12" t="str">
        <f>IF(B217="","",IF(B217='Loan Terms'!$H$9*12,G217,H217-J217))</f>
        <v/>
      </c>
      <c r="J217" s="130" t="str">
        <f>IF(B217="","",IF('Loan Terms'!$H$15="Actual/365",F217*(C217/365),F217*(C217/360))*G217)</f>
        <v/>
      </c>
      <c r="K217" s="12" t="str">
        <f t="shared" si="23"/>
        <v/>
      </c>
      <c r="L217" s="130" t="str">
        <f t="shared" si="27"/>
        <v/>
      </c>
      <c r="N217" s="14" t="str">
        <f t="shared" si="28"/>
        <v/>
      </c>
      <c r="S217" s="217" t="str">
        <f t="shared" si="24"/>
        <v/>
      </c>
      <c r="T217" s="218" t="str">
        <f t="shared" si="22"/>
        <v/>
      </c>
      <c r="U217" s="219" t="str">
        <f>IF(S217="","",'Loan Terms'!$H$14)</f>
        <v/>
      </c>
      <c r="V217" s="220" t="str">
        <f t="shared" si="29"/>
        <v/>
      </c>
    </row>
    <row r="218" spans="2:22" ht="14.25" customHeight="1" x14ac:dyDescent="0.2">
      <c r="B218" s="126" t="str">
        <f>IF(OR(B217="",B217='Loan Terms'!$H$9*12),"",B217+1)</f>
        <v/>
      </c>
      <c r="C218" s="128" t="str">
        <f>IF(B218="","",IF('Loan Terms'!$H$15="30/360",30,D218-D217))</f>
        <v/>
      </c>
      <c r="D218" s="129" t="str">
        <f t="shared" si="25"/>
        <v/>
      </c>
      <c r="E218" s="129" t="str">
        <f>IF(B218="","",IF(B218&lt;='Loan Terms'!$G$10,"Yes","No"))</f>
        <v/>
      </c>
      <c r="F218" s="101" t="str">
        <f>IF(B218="","",IF('Loan Terms'!$C$13="Fixed",'Loan Terms'!$H$17,V218))</f>
        <v/>
      </c>
      <c r="G218" s="12" t="str">
        <f t="shared" si="26"/>
        <v/>
      </c>
      <c r="H218" s="12" t="str">
        <f>IF(G218="","",IF('Loan Terms'!$C$13="Fixed",(E218="Yes")*J218+(E218="No")*'Loan Terms'!$H$19,PMT(F218/12,'Loan Terms'!$G$11-B218+1,-G218)))</f>
        <v/>
      </c>
      <c r="I218" s="12" t="str">
        <f>IF(B218="","",IF(B218='Loan Terms'!$H$9*12,G218,H218-J218))</f>
        <v/>
      </c>
      <c r="J218" s="130" t="str">
        <f>IF(B218="","",IF('Loan Terms'!$H$15="Actual/365",F218*(C218/365),F218*(C218/360))*G218)</f>
        <v/>
      </c>
      <c r="K218" s="12" t="str">
        <f t="shared" si="23"/>
        <v/>
      </c>
      <c r="L218" s="130" t="str">
        <f t="shared" si="27"/>
        <v/>
      </c>
      <c r="N218" s="14" t="str">
        <f t="shared" si="28"/>
        <v/>
      </c>
      <c r="S218" s="217" t="str">
        <f t="shared" si="24"/>
        <v/>
      </c>
      <c r="T218" s="218" t="str">
        <f t="shared" si="22"/>
        <v/>
      </c>
      <c r="U218" s="219" t="str">
        <f>IF(S218="","",'Loan Terms'!$H$14)</f>
        <v/>
      </c>
      <c r="V218" s="220" t="str">
        <f t="shared" si="29"/>
        <v/>
      </c>
    </row>
    <row r="219" spans="2:22" ht="14.25" customHeight="1" x14ac:dyDescent="0.2">
      <c r="B219" s="126" t="str">
        <f>IF(OR(B218="",B218='Loan Terms'!$H$9*12),"",B218+1)</f>
        <v/>
      </c>
      <c r="C219" s="128" t="str">
        <f>IF(B219="","",IF('Loan Terms'!$H$15="30/360",30,D219-D218))</f>
        <v/>
      </c>
      <c r="D219" s="129" t="str">
        <f t="shared" si="25"/>
        <v/>
      </c>
      <c r="E219" s="129" t="str">
        <f>IF(B219="","",IF(B219&lt;='Loan Terms'!$G$10,"Yes","No"))</f>
        <v/>
      </c>
      <c r="F219" s="101" t="str">
        <f>IF(B219="","",IF('Loan Terms'!$C$13="Fixed",'Loan Terms'!$H$17,V219))</f>
        <v/>
      </c>
      <c r="G219" s="12" t="str">
        <f t="shared" si="26"/>
        <v/>
      </c>
      <c r="H219" s="12" t="str">
        <f>IF(G219="","",IF('Loan Terms'!$C$13="Fixed",(E219="Yes")*J219+(E219="No")*'Loan Terms'!$H$19,PMT(F219/12,'Loan Terms'!$G$11-B219+1,-G219)))</f>
        <v/>
      </c>
      <c r="I219" s="12" t="str">
        <f>IF(B219="","",IF(B219='Loan Terms'!$H$9*12,G219,H219-J219))</f>
        <v/>
      </c>
      <c r="J219" s="130" t="str">
        <f>IF(B219="","",IF('Loan Terms'!$H$15="Actual/365",F219*(C219/365),F219*(C219/360))*G219)</f>
        <v/>
      </c>
      <c r="K219" s="12" t="str">
        <f t="shared" si="23"/>
        <v/>
      </c>
      <c r="L219" s="130" t="str">
        <f t="shared" si="27"/>
        <v/>
      </c>
      <c r="N219" s="14" t="str">
        <f t="shared" si="28"/>
        <v/>
      </c>
      <c r="S219" s="217" t="str">
        <f t="shared" si="24"/>
        <v/>
      </c>
      <c r="T219" s="218" t="str">
        <f t="shared" si="22"/>
        <v/>
      </c>
      <c r="U219" s="219" t="str">
        <f>IF(S219="","",'Loan Terms'!$H$14)</f>
        <v/>
      </c>
      <c r="V219" s="220" t="str">
        <f t="shared" si="29"/>
        <v/>
      </c>
    </row>
    <row r="220" spans="2:22" ht="14.25" customHeight="1" x14ac:dyDescent="0.2">
      <c r="B220" s="126" t="str">
        <f>IF(OR(B219="",B219='Loan Terms'!$H$9*12),"",B219+1)</f>
        <v/>
      </c>
      <c r="C220" s="128" t="str">
        <f>IF(B220="","",IF('Loan Terms'!$H$15="30/360",30,D220-D219))</f>
        <v/>
      </c>
      <c r="D220" s="129" t="str">
        <f t="shared" si="25"/>
        <v/>
      </c>
      <c r="E220" s="129" t="str">
        <f>IF(B220="","",IF(B220&lt;='Loan Terms'!$G$10,"Yes","No"))</f>
        <v/>
      </c>
      <c r="F220" s="101" t="str">
        <f>IF(B220="","",IF('Loan Terms'!$C$13="Fixed",'Loan Terms'!$H$17,V220))</f>
        <v/>
      </c>
      <c r="G220" s="12" t="str">
        <f t="shared" si="26"/>
        <v/>
      </c>
      <c r="H220" s="12" t="str">
        <f>IF(G220="","",IF('Loan Terms'!$C$13="Fixed",(E220="Yes")*J220+(E220="No")*'Loan Terms'!$H$19,PMT(F220/12,'Loan Terms'!$G$11-B220+1,-G220)))</f>
        <v/>
      </c>
      <c r="I220" s="12" t="str">
        <f>IF(B220="","",IF(B220='Loan Terms'!$H$9*12,G220,H220-J220))</f>
        <v/>
      </c>
      <c r="J220" s="130" t="str">
        <f>IF(B220="","",IF('Loan Terms'!$H$15="Actual/365",F220*(C220/365),F220*(C220/360))*G220)</f>
        <v/>
      </c>
      <c r="K220" s="12" t="str">
        <f t="shared" si="23"/>
        <v/>
      </c>
      <c r="L220" s="130" t="str">
        <f t="shared" si="27"/>
        <v/>
      </c>
      <c r="N220" s="14" t="str">
        <f t="shared" si="28"/>
        <v/>
      </c>
      <c r="S220" s="217" t="str">
        <f t="shared" si="24"/>
        <v/>
      </c>
      <c r="T220" s="218" t="str">
        <f t="shared" si="22"/>
        <v/>
      </c>
      <c r="U220" s="219" t="str">
        <f>IF(S220="","",'Loan Terms'!$H$14)</f>
        <v/>
      </c>
      <c r="V220" s="220" t="str">
        <f t="shared" si="29"/>
        <v/>
      </c>
    </row>
    <row r="221" spans="2:22" ht="14.25" customHeight="1" x14ac:dyDescent="0.2">
      <c r="B221" s="126" t="str">
        <f>IF(OR(B220="",B220='Loan Terms'!$H$9*12),"",B220+1)</f>
        <v/>
      </c>
      <c r="C221" s="128" t="str">
        <f>IF(B221="","",IF('Loan Terms'!$H$15="30/360",30,D221-D220))</f>
        <v/>
      </c>
      <c r="D221" s="129" t="str">
        <f t="shared" si="25"/>
        <v/>
      </c>
      <c r="E221" s="129" t="str">
        <f>IF(B221="","",IF(B221&lt;='Loan Terms'!$G$10,"Yes","No"))</f>
        <v/>
      </c>
      <c r="F221" s="101" t="str">
        <f>IF(B221="","",IF('Loan Terms'!$C$13="Fixed",'Loan Terms'!$H$17,V221))</f>
        <v/>
      </c>
      <c r="G221" s="12" t="str">
        <f t="shared" si="26"/>
        <v/>
      </c>
      <c r="H221" s="12" t="str">
        <f>IF(G221="","",IF('Loan Terms'!$C$13="Fixed",(E221="Yes")*J221+(E221="No")*'Loan Terms'!$H$19,PMT(F221/12,'Loan Terms'!$G$11-B221+1,-G221)))</f>
        <v/>
      </c>
      <c r="I221" s="12" t="str">
        <f>IF(B221="","",IF(B221='Loan Terms'!$H$9*12,G221,H221-J221))</f>
        <v/>
      </c>
      <c r="J221" s="130" t="str">
        <f>IF(B221="","",IF('Loan Terms'!$H$15="Actual/365",F221*(C221/365),F221*(C221/360))*G221)</f>
        <v/>
      </c>
      <c r="K221" s="12" t="str">
        <f t="shared" si="23"/>
        <v/>
      </c>
      <c r="L221" s="130" t="str">
        <f t="shared" si="27"/>
        <v/>
      </c>
      <c r="N221" s="14" t="str">
        <f t="shared" si="28"/>
        <v/>
      </c>
      <c r="S221" s="217" t="str">
        <f t="shared" si="24"/>
        <v/>
      </c>
      <c r="T221" s="218" t="str">
        <f t="shared" si="22"/>
        <v/>
      </c>
      <c r="U221" s="219" t="str">
        <f>IF(S221="","",'Loan Terms'!$H$14)</f>
        <v/>
      </c>
      <c r="V221" s="220" t="str">
        <f t="shared" si="29"/>
        <v/>
      </c>
    </row>
    <row r="222" spans="2:22" ht="14.25" customHeight="1" x14ac:dyDescent="0.2">
      <c r="B222" s="126" t="str">
        <f>IF(OR(B221="",B221='Loan Terms'!$H$9*12),"",B221+1)</f>
        <v/>
      </c>
      <c r="C222" s="128" t="str">
        <f>IF(B222="","",IF('Loan Terms'!$H$15="30/360",30,D222-D221))</f>
        <v/>
      </c>
      <c r="D222" s="129" t="str">
        <f t="shared" si="25"/>
        <v/>
      </c>
      <c r="E222" s="129" t="str">
        <f>IF(B222="","",IF(B222&lt;='Loan Terms'!$G$10,"Yes","No"))</f>
        <v/>
      </c>
      <c r="F222" s="101" t="str">
        <f>IF(B222="","",IF('Loan Terms'!$C$13="Fixed",'Loan Terms'!$H$17,V222))</f>
        <v/>
      </c>
      <c r="G222" s="12" t="str">
        <f t="shared" si="26"/>
        <v/>
      </c>
      <c r="H222" s="12" t="str">
        <f>IF(G222="","",IF('Loan Terms'!$C$13="Fixed",(E222="Yes")*J222+(E222="No")*'Loan Terms'!$H$19,PMT(F222/12,'Loan Terms'!$G$11-B222+1,-G222)))</f>
        <v/>
      </c>
      <c r="I222" s="12" t="str">
        <f>IF(B222="","",IF(B222='Loan Terms'!$H$9*12,G222,H222-J222))</f>
        <v/>
      </c>
      <c r="J222" s="130" t="str">
        <f>IF(B222="","",IF('Loan Terms'!$H$15="Actual/365",F222*(C222/365),F222*(C222/360))*G222)</f>
        <v/>
      </c>
      <c r="K222" s="12" t="str">
        <f t="shared" si="23"/>
        <v/>
      </c>
      <c r="L222" s="130" t="str">
        <f t="shared" si="27"/>
        <v/>
      </c>
      <c r="N222" s="14" t="str">
        <f t="shared" si="28"/>
        <v/>
      </c>
      <c r="S222" s="217" t="str">
        <f t="shared" si="24"/>
        <v/>
      </c>
      <c r="T222" s="218" t="str">
        <f t="shared" si="22"/>
        <v/>
      </c>
      <c r="U222" s="219" t="str">
        <f>IF(S222="","",'Loan Terms'!$H$14)</f>
        <v/>
      </c>
      <c r="V222" s="220" t="str">
        <f t="shared" si="29"/>
        <v/>
      </c>
    </row>
    <row r="223" spans="2:22" ht="14.25" customHeight="1" x14ac:dyDescent="0.2">
      <c r="B223" s="126" t="str">
        <f>IF(OR(B222="",B222='Loan Terms'!$H$9*12),"",B222+1)</f>
        <v/>
      </c>
      <c r="C223" s="128" t="str">
        <f>IF(B223="","",IF('Loan Terms'!$H$15="30/360",30,D223-D222))</f>
        <v/>
      </c>
      <c r="D223" s="129" t="str">
        <f t="shared" si="25"/>
        <v/>
      </c>
      <c r="E223" s="129" t="str">
        <f>IF(B223="","",IF(B223&lt;='Loan Terms'!$G$10,"Yes","No"))</f>
        <v/>
      </c>
      <c r="F223" s="101" t="str">
        <f>IF(B223="","",IF('Loan Terms'!$C$13="Fixed",'Loan Terms'!$H$17,V223))</f>
        <v/>
      </c>
      <c r="G223" s="12" t="str">
        <f t="shared" si="26"/>
        <v/>
      </c>
      <c r="H223" s="12" t="str">
        <f>IF(G223="","",IF('Loan Terms'!$C$13="Fixed",(E223="Yes")*J223+(E223="No")*'Loan Terms'!$H$19,PMT(F223/12,'Loan Terms'!$G$11-B223+1,-G223)))</f>
        <v/>
      </c>
      <c r="I223" s="12" t="str">
        <f>IF(B223="","",IF(B223='Loan Terms'!$H$9*12,G223,H223-J223))</f>
        <v/>
      </c>
      <c r="J223" s="130" t="str">
        <f>IF(B223="","",IF('Loan Terms'!$H$15="Actual/365",F223*(C223/365),F223*(C223/360))*G223)</f>
        <v/>
      </c>
      <c r="K223" s="12" t="str">
        <f t="shared" si="23"/>
        <v/>
      </c>
      <c r="L223" s="130" t="str">
        <f t="shared" si="27"/>
        <v/>
      </c>
      <c r="N223" s="14" t="str">
        <f t="shared" si="28"/>
        <v/>
      </c>
      <c r="S223" s="217" t="str">
        <f t="shared" si="24"/>
        <v/>
      </c>
      <c r="T223" s="218" t="str">
        <f t="shared" si="22"/>
        <v/>
      </c>
      <c r="U223" s="219" t="str">
        <f>IF(S223="","",'Loan Terms'!$H$14)</f>
        <v/>
      </c>
      <c r="V223" s="220" t="str">
        <f t="shared" si="29"/>
        <v/>
      </c>
    </row>
    <row r="224" spans="2:22" ht="14.25" customHeight="1" x14ac:dyDescent="0.2">
      <c r="B224" s="126" t="str">
        <f>IF(OR(B223="",B223='Loan Terms'!$H$9*12),"",B223+1)</f>
        <v/>
      </c>
      <c r="C224" s="128" t="str">
        <f>IF(B224="","",IF('Loan Terms'!$H$15="30/360",30,D224-D223))</f>
        <v/>
      </c>
      <c r="D224" s="129" t="str">
        <f t="shared" si="25"/>
        <v/>
      </c>
      <c r="E224" s="129" t="str">
        <f>IF(B224="","",IF(B224&lt;='Loan Terms'!$G$10,"Yes","No"))</f>
        <v/>
      </c>
      <c r="F224" s="101" t="str">
        <f>IF(B224="","",IF('Loan Terms'!$C$13="Fixed",'Loan Terms'!$H$17,V224))</f>
        <v/>
      </c>
      <c r="G224" s="12" t="str">
        <f t="shared" si="26"/>
        <v/>
      </c>
      <c r="H224" s="12" t="str">
        <f>IF(G224="","",IF('Loan Terms'!$C$13="Fixed",(E224="Yes")*J224+(E224="No")*'Loan Terms'!$H$19,PMT(F224/12,'Loan Terms'!$G$11-B224+1,-G224)))</f>
        <v/>
      </c>
      <c r="I224" s="12" t="str">
        <f>IF(B224="","",IF(B224='Loan Terms'!$H$9*12,G224,H224-J224))</f>
        <v/>
      </c>
      <c r="J224" s="130" t="str">
        <f>IF(B224="","",IF('Loan Terms'!$H$15="Actual/365",F224*(C224/365),F224*(C224/360))*G224)</f>
        <v/>
      </c>
      <c r="K224" s="12" t="str">
        <f t="shared" si="23"/>
        <v/>
      </c>
      <c r="L224" s="130" t="str">
        <f t="shared" si="27"/>
        <v/>
      </c>
      <c r="N224" s="14" t="str">
        <f t="shared" si="28"/>
        <v/>
      </c>
      <c r="S224" s="217" t="str">
        <f t="shared" si="24"/>
        <v/>
      </c>
      <c r="T224" s="218" t="str">
        <f t="shared" si="22"/>
        <v/>
      </c>
      <c r="U224" s="219" t="str">
        <f>IF(S224="","",'Loan Terms'!$H$14)</f>
        <v/>
      </c>
      <c r="V224" s="220" t="str">
        <f t="shared" si="29"/>
        <v/>
      </c>
    </row>
    <row r="225" spans="2:22" ht="14.25" customHeight="1" x14ac:dyDescent="0.2">
      <c r="B225" s="126" t="str">
        <f>IF(OR(B224="",B224='Loan Terms'!$H$9*12),"",B224+1)</f>
        <v/>
      </c>
      <c r="C225" s="128" t="str">
        <f>IF(B225="","",IF('Loan Terms'!$H$15="30/360",30,D225-D224))</f>
        <v/>
      </c>
      <c r="D225" s="129" t="str">
        <f t="shared" si="25"/>
        <v/>
      </c>
      <c r="E225" s="129" t="str">
        <f>IF(B225="","",IF(B225&lt;='Loan Terms'!$G$10,"Yes","No"))</f>
        <v/>
      </c>
      <c r="F225" s="101" t="str">
        <f>IF(B225="","",IF('Loan Terms'!$C$13="Fixed",'Loan Terms'!$H$17,V225))</f>
        <v/>
      </c>
      <c r="G225" s="12" t="str">
        <f t="shared" si="26"/>
        <v/>
      </c>
      <c r="H225" s="12" t="str">
        <f>IF(G225="","",IF('Loan Terms'!$C$13="Fixed",(E225="Yes")*J225+(E225="No")*'Loan Terms'!$H$19,PMT(F225/12,'Loan Terms'!$G$11-B225+1,-G225)))</f>
        <v/>
      </c>
      <c r="I225" s="12" t="str">
        <f>IF(B225="","",IF(B225='Loan Terms'!$H$9*12,G225,H225-J225))</f>
        <v/>
      </c>
      <c r="J225" s="130" t="str">
        <f>IF(B225="","",IF('Loan Terms'!$H$15="Actual/365",F225*(C225/365),F225*(C225/360))*G225)</f>
        <v/>
      </c>
      <c r="K225" s="12" t="str">
        <f t="shared" si="23"/>
        <v/>
      </c>
      <c r="L225" s="130" t="str">
        <f t="shared" si="27"/>
        <v/>
      </c>
      <c r="N225" s="14" t="str">
        <f t="shared" si="28"/>
        <v/>
      </c>
      <c r="S225" s="217" t="str">
        <f t="shared" si="24"/>
        <v/>
      </c>
      <c r="T225" s="218" t="str">
        <f t="shared" si="22"/>
        <v/>
      </c>
      <c r="U225" s="219" t="str">
        <f>IF(S225="","",'Loan Terms'!$H$14)</f>
        <v/>
      </c>
      <c r="V225" s="220" t="str">
        <f t="shared" si="29"/>
        <v/>
      </c>
    </row>
    <row r="226" spans="2:22" ht="14.25" customHeight="1" x14ac:dyDescent="0.2">
      <c r="B226" s="126" t="str">
        <f>IF(OR(B225="",B225='Loan Terms'!$H$9*12),"",B225+1)</f>
        <v/>
      </c>
      <c r="C226" s="128" t="str">
        <f>IF(B226="","",IF('Loan Terms'!$H$15="30/360",30,D226-D225))</f>
        <v/>
      </c>
      <c r="D226" s="129" t="str">
        <f t="shared" si="25"/>
        <v/>
      </c>
      <c r="E226" s="129" t="str">
        <f>IF(B226="","",IF(B226&lt;='Loan Terms'!$G$10,"Yes","No"))</f>
        <v/>
      </c>
      <c r="F226" s="101" t="str">
        <f>IF(B226="","",IF('Loan Terms'!$C$13="Fixed",'Loan Terms'!$H$17,V226))</f>
        <v/>
      </c>
      <c r="G226" s="12" t="str">
        <f t="shared" si="26"/>
        <v/>
      </c>
      <c r="H226" s="12" t="str">
        <f>IF(G226="","",IF('Loan Terms'!$C$13="Fixed",(E226="Yes")*J226+(E226="No")*'Loan Terms'!$H$19,PMT(F226/12,'Loan Terms'!$G$11-B226+1,-G226)))</f>
        <v/>
      </c>
      <c r="I226" s="12" t="str">
        <f>IF(B226="","",IF(B226='Loan Terms'!$H$9*12,G226,H226-J226))</f>
        <v/>
      </c>
      <c r="J226" s="130" t="str">
        <f>IF(B226="","",IF('Loan Terms'!$H$15="Actual/365",F226*(C226/365),F226*(C226/360))*G226)</f>
        <v/>
      </c>
      <c r="K226" s="12" t="str">
        <f t="shared" si="23"/>
        <v/>
      </c>
      <c r="L226" s="130" t="str">
        <f t="shared" si="27"/>
        <v/>
      </c>
      <c r="N226" s="14" t="str">
        <f t="shared" si="28"/>
        <v/>
      </c>
      <c r="S226" s="217" t="str">
        <f t="shared" si="24"/>
        <v/>
      </c>
      <c r="T226" s="218" t="str">
        <f t="shared" si="22"/>
        <v/>
      </c>
      <c r="U226" s="219" t="str">
        <f>IF(S226="","",'Loan Terms'!$H$14)</f>
        <v/>
      </c>
      <c r="V226" s="220" t="str">
        <f t="shared" si="29"/>
        <v/>
      </c>
    </row>
    <row r="227" spans="2:22" ht="14.25" customHeight="1" x14ac:dyDescent="0.2">
      <c r="B227" s="126" t="str">
        <f>IF(OR(B226="",B226='Loan Terms'!$H$9*12),"",B226+1)</f>
        <v/>
      </c>
      <c r="C227" s="128" t="str">
        <f>IF(B227="","",IF('Loan Terms'!$H$15="30/360",30,D227-D226))</f>
        <v/>
      </c>
      <c r="D227" s="129" t="str">
        <f t="shared" si="25"/>
        <v/>
      </c>
      <c r="E227" s="129" t="str">
        <f>IF(B227="","",IF(B227&lt;='Loan Terms'!$G$10,"Yes","No"))</f>
        <v/>
      </c>
      <c r="F227" s="101" t="str">
        <f>IF(B227="","",IF('Loan Terms'!$C$13="Fixed",'Loan Terms'!$H$17,V227))</f>
        <v/>
      </c>
      <c r="G227" s="12" t="str">
        <f t="shared" si="26"/>
        <v/>
      </c>
      <c r="H227" s="12" t="str">
        <f>IF(G227="","",IF('Loan Terms'!$C$13="Fixed",(E227="Yes")*J227+(E227="No")*'Loan Terms'!$H$19,PMT(F227/12,'Loan Terms'!$G$11-B227+1,-G227)))</f>
        <v/>
      </c>
      <c r="I227" s="12" t="str">
        <f>IF(B227="","",IF(B227='Loan Terms'!$H$9*12,G227,H227-J227))</f>
        <v/>
      </c>
      <c r="J227" s="130" t="str">
        <f>IF(B227="","",IF('Loan Terms'!$H$15="Actual/365",F227*(C227/365),F227*(C227/360))*G227)</f>
        <v/>
      </c>
      <c r="K227" s="12" t="str">
        <f t="shared" si="23"/>
        <v/>
      </c>
      <c r="L227" s="130" t="str">
        <f t="shared" si="27"/>
        <v/>
      </c>
      <c r="N227" s="14" t="str">
        <f t="shared" si="28"/>
        <v/>
      </c>
      <c r="S227" s="217" t="str">
        <f t="shared" si="24"/>
        <v/>
      </c>
      <c r="T227" s="218" t="str">
        <f t="shared" si="22"/>
        <v/>
      </c>
      <c r="U227" s="219" t="str">
        <f>IF(S227="","",'Loan Terms'!$H$14)</f>
        <v/>
      </c>
      <c r="V227" s="220" t="str">
        <f t="shared" si="29"/>
        <v/>
      </c>
    </row>
    <row r="228" spans="2:22" ht="14.25" customHeight="1" x14ac:dyDescent="0.2">
      <c r="B228" s="126" t="str">
        <f>IF(OR(B227="",B227='Loan Terms'!$H$9*12),"",B227+1)</f>
        <v/>
      </c>
      <c r="C228" s="128" t="str">
        <f>IF(B228="","",IF('Loan Terms'!$H$15="30/360",30,D228-D227))</f>
        <v/>
      </c>
      <c r="D228" s="129" t="str">
        <f t="shared" si="25"/>
        <v/>
      </c>
      <c r="E228" s="129" t="str">
        <f>IF(B228="","",IF(B228&lt;='Loan Terms'!$G$10,"Yes","No"))</f>
        <v/>
      </c>
      <c r="F228" s="101" t="str">
        <f>IF(B228="","",IF('Loan Terms'!$C$13="Fixed",'Loan Terms'!$H$17,V228))</f>
        <v/>
      </c>
      <c r="G228" s="12" t="str">
        <f t="shared" si="26"/>
        <v/>
      </c>
      <c r="H228" s="12" t="str">
        <f>IF(G228="","",IF('Loan Terms'!$C$13="Fixed",(E228="Yes")*J228+(E228="No")*'Loan Terms'!$H$19,PMT(F228/12,'Loan Terms'!$G$11-B228+1,-G228)))</f>
        <v/>
      </c>
      <c r="I228" s="12" t="str">
        <f>IF(B228="","",IF(B228='Loan Terms'!$H$9*12,G228,H228-J228))</f>
        <v/>
      </c>
      <c r="J228" s="130" t="str">
        <f>IF(B228="","",IF('Loan Terms'!$H$15="Actual/365",F228*(C228/365),F228*(C228/360))*G228)</f>
        <v/>
      </c>
      <c r="K228" s="12" t="str">
        <f t="shared" si="23"/>
        <v/>
      </c>
      <c r="L228" s="130" t="str">
        <f t="shared" si="27"/>
        <v/>
      </c>
      <c r="N228" s="14" t="str">
        <f t="shared" si="28"/>
        <v/>
      </c>
      <c r="S228" s="217" t="str">
        <f t="shared" si="24"/>
        <v/>
      </c>
      <c r="T228" s="218" t="str">
        <f t="shared" si="22"/>
        <v/>
      </c>
      <c r="U228" s="219" t="str">
        <f>IF(S228="","",'Loan Terms'!$H$14)</f>
        <v/>
      </c>
      <c r="V228" s="220" t="str">
        <f t="shared" si="29"/>
        <v/>
      </c>
    </row>
    <row r="229" spans="2:22" ht="14.25" customHeight="1" x14ac:dyDescent="0.2">
      <c r="B229" s="126" t="str">
        <f>IF(OR(B228="",B228='Loan Terms'!$H$9*12),"",B228+1)</f>
        <v/>
      </c>
      <c r="C229" s="128" t="str">
        <f>IF(B229="","",IF('Loan Terms'!$H$15="30/360",30,D229-D228))</f>
        <v/>
      </c>
      <c r="D229" s="129" t="str">
        <f t="shared" si="25"/>
        <v/>
      </c>
      <c r="E229" s="129" t="str">
        <f>IF(B229="","",IF(B229&lt;='Loan Terms'!$G$10,"Yes","No"))</f>
        <v/>
      </c>
      <c r="F229" s="101" t="str">
        <f>IF(B229="","",IF('Loan Terms'!$C$13="Fixed",'Loan Terms'!$H$17,V229))</f>
        <v/>
      </c>
      <c r="G229" s="12" t="str">
        <f t="shared" si="26"/>
        <v/>
      </c>
      <c r="H229" s="12" t="str">
        <f>IF(G229="","",IF('Loan Terms'!$C$13="Fixed",(E229="Yes")*J229+(E229="No")*'Loan Terms'!$H$19,PMT(F229/12,'Loan Terms'!$G$11-B229+1,-G229)))</f>
        <v/>
      </c>
      <c r="I229" s="12" t="str">
        <f>IF(B229="","",IF(B229='Loan Terms'!$H$9*12,G229,H229-J229))</f>
        <v/>
      </c>
      <c r="J229" s="130" t="str">
        <f>IF(B229="","",IF('Loan Terms'!$H$15="Actual/365",F229*(C229/365),F229*(C229/360))*G229)</f>
        <v/>
      </c>
      <c r="K229" s="12" t="str">
        <f t="shared" si="23"/>
        <v/>
      </c>
      <c r="L229" s="130" t="str">
        <f t="shared" si="27"/>
        <v/>
      </c>
      <c r="N229" s="14" t="str">
        <f t="shared" si="28"/>
        <v/>
      </c>
      <c r="S229" s="217" t="str">
        <f t="shared" si="24"/>
        <v/>
      </c>
      <c r="T229" s="218" t="str">
        <f t="shared" si="22"/>
        <v/>
      </c>
      <c r="U229" s="219" t="str">
        <f>IF(S229="","",'Loan Terms'!$H$14)</f>
        <v/>
      </c>
      <c r="V229" s="220" t="str">
        <f t="shared" si="29"/>
        <v/>
      </c>
    </row>
    <row r="230" spans="2:22" ht="14.25" customHeight="1" x14ac:dyDescent="0.2">
      <c r="B230" s="126" t="str">
        <f>IF(OR(B229="",B229='Loan Terms'!$H$9*12),"",B229+1)</f>
        <v/>
      </c>
      <c r="C230" s="128" t="str">
        <f>IF(B230="","",IF('Loan Terms'!$H$15="30/360",30,D230-D229))</f>
        <v/>
      </c>
      <c r="D230" s="129" t="str">
        <f t="shared" si="25"/>
        <v/>
      </c>
      <c r="E230" s="129" t="str">
        <f>IF(B230="","",IF(B230&lt;='Loan Terms'!$G$10,"Yes","No"))</f>
        <v/>
      </c>
      <c r="F230" s="101" t="str">
        <f>IF(B230="","",IF('Loan Terms'!$C$13="Fixed",'Loan Terms'!$H$17,V230))</f>
        <v/>
      </c>
      <c r="G230" s="12" t="str">
        <f t="shared" si="26"/>
        <v/>
      </c>
      <c r="H230" s="12" t="str">
        <f>IF(G230="","",IF('Loan Terms'!$C$13="Fixed",(E230="Yes")*J230+(E230="No")*'Loan Terms'!$H$19,PMT(F230/12,'Loan Terms'!$G$11-B230+1,-G230)))</f>
        <v/>
      </c>
      <c r="I230" s="12" t="str">
        <f>IF(B230="","",IF(B230='Loan Terms'!$H$9*12,G230,H230-J230))</f>
        <v/>
      </c>
      <c r="J230" s="130" t="str">
        <f>IF(B230="","",IF('Loan Terms'!$H$15="Actual/365",F230*(C230/365),F230*(C230/360))*G230)</f>
        <v/>
      </c>
      <c r="K230" s="12" t="str">
        <f t="shared" si="23"/>
        <v/>
      </c>
      <c r="L230" s="130" t="str">
        <f t="shared" si="27"/>
        <v/>
      </c>
      <c r="N230" s="14" t="str">
        <f t="shared" si="28"/>
        <v/>
      </c>
      <c r="S230" s="217" t="str">
        <f t="shared" si="24"/>
        <v/>
      </c>
      <c r="T230" s="218" t="str">
        <f t="shared" si="22"/>
        <v/>
      </c>
      <c r="U230" s="219" t="str">
        <f>IF(S230="","",'Loan Terms'!$H$14)</f>
        <v/>
      </c>
      <c r="V230" s="220" t="str">
        <f t="shared" si="29"/>
        <v/>
      </c>
    </row>
    <row r="231" spans="2:22" ht="14.25" customHeight="1" x14ac:dyDescent="0.2">
      <c r="B231" s="126" t="str">
        <f>IF(OR(B230="",B230='Loan Terms'!$H$9*12),"",B230+1)</f>
        <v/>
      </c>
      <c r="C231" s="128" t="str">
        <f>IF(B231="","",IF('Loan Terms'!$H$15="30/360",30,D231-D230))</f>
        <v/>
      </c>
      <c r="D231" s="129" t="str">
        <f t="shared" si="25"/>
        <v/>
      </c>
      <c r="E231" s="129" t="str">
        <f>IF(B231="","",IF(B231&lt;='Loan Terms'!$G$10,"Yes","No"))</f>
        <v/>
      </c>
      <c r="F231" s="101" t="str">
        <f>IF(B231="","",IF('Loan Terms'!$C$13="Fixed",'Loan Terms'!$H$17,V231))</f>
        <v/>
      </c>
      <c r="G231" s="12" t="str">
        <f t="shared" si="26"/>
        <v/>
      </c>
      <c r="H231" s="12" t="str">
        <f>IF(G231="","",IF('Loan Terms'!$C$13="Fixed",(E231="Yes")*J231+(E231="No")*'Loan Terms'!$H$19,PMT(F231/12,'Loan Terms'!$G$11-B231+1,-G231)))</f>
        <v/>
      </c>
      <c r="I231" s="12" t="str">
        <f>IF(B231="","",IF(B231='Loan Terms'!$H$9*12,G231,H231-J231))</f>
        <v/>
      </c>
      <c r="J231" s="130" t="str">
        <f>IF(B231="","",IF('Loan Terms'!$H$15="Actual/365",F231*(C231/365),F231*(C231/360))*G231)</f>
        <v/>
      </c>
      <c r="K231" s="12" t="str">
        <f t="shared" si="23"/>
        <v/>
      </c>
      <c r="L231" s="130" t="str">
        <f t="shared" si="27"/>
        <v/>
      </c>
      <c r="N231" s="14" t="str">
        <f t="shared" si="28"/>
        <v/>
      </c>
      <c r="S231" s="217" t="str">
        <f t="shared" si="24"/>
        <v/>
      </c>
      <c r="T231" s="218" t="str">
        <f t="shared" si="22"/>
        <v/>
      </c>
      <c r="U231" s="219" t="str">
        <f>IF(S231="","",'Loan Terms'!$H$14)</f>
        <v/>
      </c>
      <c r="V231" s="220" t="str">
        <f t="shared" si="29"/>
        <v/>
      </c>
    </row>
    <row r="232" spans="2:22" ht="14.25" customHeight="1" x14ac:dyDescent="0.2">
      <c r="B232" s="126" t="str">
        <f>IF(OR(B231="",B231='Loan Terms'!$H$9*12),"",B231+1)</f>
        <v/>
      </c>
      <c r="C232" s="128" t="str">
        <f>IF(B232="","",IF('Loan Terms'!$H$15="30/360",30,D232-D231))</f>
        <v/>
      </c>
      <c r="D232" s="129" t="str">
        <f t="shared" si="25"/>
        <v/>
      </c>
      <c r="E232" s="129" t="str">
        <f>IF(B232="","",IF(B232&lt;='Loan Terms'!$G$10,"Yes","No"))</f>
        <v/>
      </c>
      <c r="F232" s="101" t="str">
        <f>IF(B232="","",IF('Loan Terms'!$C$13="Fixed",'Loan Terms'!$H$17,V232))</f>
        <v/>
      </c>
      <c r="G232" s="12" t="str">
        <f t="shared" si="26"/>
        <v/>
      </c>
      <c r="H232" s="12" t="str">
        <f>IF(G232="","",IF('Loan Terms'!$C$13="Fixed",(E232="Yes")*J232+(E232="No")*'Loan Terms'!$H$19,PMT(F232/12,'Loan Terms'!$G$11-B232+1,-G232)))</f>
        <v/>
      </c>
      <c r="I232" s="12" t="str">
        <f>IF(B232="","",IF(B232='Loan Terms'!$H$9*12,G232,H232-J232))</f>
        <v/>
      </c>
      <c r="J232" s="130" t="str">
        <f>IF(B232="","",IF('Loan Terms'!$H$15="Actual/365",F232*(C232/365),F232*(C232/360))*G232)</f>
        <v/>
      </c>
      <c r="K232" s="12" t="str">
        <f t="shared" si="23"/>
        <v/>
      </c>
      <c r="L232" s="130" t="str">
        <f t="shared" si="27"/>
        <v/>
      </c>
      <c r="N232" s="14" t="str">
        <f t="shared" si="28"/>
        <v/>
      </c>
      <c r="S232" s="217" t="str">
        <f t="shared" si="24"/>
        <v/>
      </c>
      <c r="T232" s="218" t="str">
        <f t="shared" si="22"/>
        <v/>
      </c>
      <c r="U232" s="219" t="str">
        <f>IF(S232="","",'Loan Terms'!$H$14)</f>
        <v/>
      </c>
      <c r="V232" s="220" t="str">
        <f t="shared" si="29"/>
        <v/>
      </c>
    </row>
    <row r="233" spans="2:22" ht="14.25" customHeight="1" x14ac:dyDescent="0.2">
      <c r="B233" s="126" t="str">
        <f>IF(OR(B232="",B232='Loan Terms'!$H$9*12),"",B232+1)</f>
        <v/>
      </c>
      <c r="C233" s="128" t="str">
        <f>IF(B233="","",IF('Loan Terms'!$H$15="30/360",30,D233-D232))</f>
        <v/>
      </c>
      <c r="D233" s="129" t="str">
        <f t="shared" si="25"/>
        <v/>
      </c>
      <c r="E233" s="129" t="str">
        <f>IF(B233="","",IF(B233&lt;='Loan Terms'!$G$10,"Yes","No"))</f>
        <v/>
      </c>
      <c r="F233" s="101" t="str">
        <f>IF(B233="","",IF('Loan Terms'!$C$13="Fixed",'Loan Terms'!$H$17,V233))</f>
        <v/>
      </c>
      <c r="G233" s="12" t="str">
        <f t="shared" si="26"/>
        <v/>
      </c>
      <c r="H233" s="12" t="str">
        <f>IF(G233="","",IF('Loan Terms'!$C$13="Fixed",(E233="Yes")*J233+(E233="No")*'Loan Terms'!$H$19,PMT(F233/12,'Loan Terms'!$G$11-B233+1,-G233)))</f>
        <v/>
      </c>
      <c r="I233" s="12" t="str">
        <f>IF(B233="","",IF(B233='Loan Terms'!$H$9*12,G233,H233-J233))</f>
        <v/>
      </c>
      <c r="J233" s="130" t="str">
        <f>IF(B233="","",IF('Loan Terms'!$H$15="Actual/365",F233*(C233/365),F233*(C233/360))*G233)</f>
        <v/>
      </c>
      <c r="K233" s="12" t="str">
        <f t="shared" si="23"/>
        <v/>
      </c>
      <c r="L233" s="130" t="str">
        <f t="shared" si="27"/>
        <v/>
      </c>
      <c r="N233" s="14" t="str">
        <f t="shared" si="28"/>
        <v/>
      </c>
      <c r="S233" s="217" t="str">
        <f t="shared" si="24"/>
        <v/>
      </c>
      <c r="T233" s="218" t="str">
        <f t="shared" si="22"/>
        <v/>
      </c>
      <c r="U233" s="219" t="str">
        <f>IF(S233="","",'Loan Terms'!$H$14)</f>
        <v/>
      </c>
      <c r="V233" s="220" t="str">
        <f t="shared" si="29"/>
        <v/>
      </c>
    </row>
    <row r="234" spans="2:22" ht="14.25" customHeight="1" x14ac:dyDescent="0.2">
      <c r="B234" s="126" t="str">
        <f>IF(OR(B233="",B233='Loan Terms'!$H$9*12),"",B233+1)</f>
        <v/>
      </c>
      <c r="C234" s="128" t="str">
        <f>IF(B234="","",IF('Loan Terms'!$H$15="30/360",30,D234-D233))</f>
        <v/>
      </c>
      <c r="D234" s="129" t="str">
        <f t="shared" si="25"/>
        <v/>
      </c>
      <c r="E234" s="129" t="str">
        <f>IF(B234="","",IF(B234&lt;='Loan Terms'!$G$10,"Yes","No"))</f>
        <v/>
      </c>
      <c r="F234" s="101" t="str">
        <f>IF(B234="","",IF('Loan Terms'!$C$13="Fixed",'Loan Terms'!$H$17,V234))</f>
        <v/>
      </c>
      <c r="G234" s="12" t="str">
        <f t="shared" si="26"/>
        <v/>
      </c>
      <c r="H234" s="12" t="str">
        <f>IF(G234="","",IF('Loan Terms'!$C$13="Fixed",(E234="Yes")*J234+(E234="No")*'Loan Terms'!$H$19,PMT(F234/12,'Loan Terms'!$G$11-B234+1,-G234)))</f>
        <v/>
      </c>
      <c r="I234" s="12" t="str">
        <f>IF(B234="","",IF(B234='Loan Terms'!$H$9*12,G234,H234-J234))</f>
        <v/>
      </c>
      <c r="J234" s="130" t="str">
        <f>IF(B234="","",IF('Loan Terms'!$H$15="Actual/365",F234*(C234/365),F234*(C234/360))*G234)</f>
        <v/>
      </c>
      <c r="K234" s="12" t="str">
        <f t="shared" si="23"/>
        <v/>
      </c>
      <c r="L234" s="130" t="str">
        <f t="shared" si="27"/>
        <v/>
      </c>
      <c r="N234" s="14" t="str">
        <f t="shared" si="28"/>
        <v/>
      </c>
      <c r="S234" s="217" t="str">
        <f t="shared" si="24"/>
        <v/>
      </c>
      <c r="T234" s="218" t="str">
        <f t="shared" si="22"/>
        <v/>
      </c>
      <c r="U234" s="219" t="str">
        <f>IF(S234="","",'Loan Terms'!$H$14)</f>
        <v/>
      </c>
      <c r="V234" s="220" t="str">
        <f t="shared" si="29"/>
        <v/>
      </c>
    </row>
    <row r="235" spans="2:22" ht="14.25" customHeight="1" x14ac:dyDescent="0.2">
      <c r="B235" s="126" t="str">
        <f>IF(OR(B234="",B234='Loan Terms'!$H$9*12),"",B234+1)</f>
        <v/>
      </c>
      <c r="C235" s="128" t="str">
        <f>IF(B235="","",IF('Loan Terms'!$H$15="30/360",30,D235-D234))</f>
        <v/>
      </c>
      <c r="D235" s="129" t="str">
        <f t="shared" si="25"/>
        <v/>
      </c>
      <c r="E235" s="129" t="str">
        <f>IF(B235="","",IF(B235&lt;='Loan Terms'!$G$10,"Yes","No"))</f>
        <v/>
      </c>
      <c r="F235" s="101" t="str">
        <f>IF(B235="","",IF('Loan Terms'!$C$13="Fixed",'Loan Terms'!$H$17,V235))</f>
        <v/>
      </c>
      <c r="G235" s="12" t="str">
        <f t="shared" si="26"/>
        <v/>
      </c>
      <c r="H235" s="12" t="str">
        <f>IF(G235="","",IF('Loan Terms'!$C$13="Fixed",(E235="Yes")*J235+(E235="No")*'Loan Terms'!$H$19,PMT(F235/12,'Loan Terms'!$G$11-B235+1,-G235)))</f>
        <v/>
      </c>
      <c r="I235" s="12" t="str">
        <f>IF(B235="","",IF(B235='Loan Terms'!$H$9*12,G235,H235-J235))</f>
        <v/>
      </c>
      <c r="J235" s="130" t="str">
        <f>IF(B235="","",IF('Loan Terms'!$H$15="Actual/365",F235*(C235/365),F235*(C235/360))*G235)</f>
        <v/>
      </c>
      <c r="K235" s="12" t="str">
        <f t="shared" si="23"/>
        <v/>
      </c>
      <c r="L235" s="130" t="str">
        <f t="shared" si="27"/>
        <v/>
      </c>
      <c r="N235" s="14" t="str">
        <f t="shared" si="28"/>
        <v/>
      </c>
      <c r="S235" s="217" t="str">
        <f t="shared" si="24"/>
        <v/>
      </c>
      <c r="T235" s="218" t="str">
        <f t="shared" si="22"/>
        <v/>
      </c>
      <c r="U235" s="219" t="str">
        <f>IF(S235="","",'Loan Terms'!$H$14)</f>
        <v/>
      </c>
      <c r="V235" s="220" t="str">
        <f t="shared" si="29"/>
        <v/>
      </c>
    </row>
    <row r="236" spans="2:22" ht="14.25" customHeight="1" x14ac:dyDescent="0.2">
      <c r="B236" s="126" t="str">
        <f>IF(OR(B235="",B235='Loan Terms'!$H$9*12),"",B235+1)</f>
        <v/>
      </c>
      <c r="C236" s="128" t="str">
        <f>IF(B236="","",IF('Loan Terms'!$H$15="30/360",30,D236-D235))</f>
        <v/>
      </c>
      <c r="D236" s="129" t="str">
        <f t="shared" si="25"/>
        <v/>
      </c>
      <c r="E236" s="129" t="str">
        <f>IF(B236="","",IF(B236&lt;='Loan Terms'!$G$10,"Yes","No"))</f>
        <v/>
      </c>
      <c r="F236" s="101" t="str">
        <f>IF(B236="","",IF('Loan Terms'!$C$13="Fixed",'Loan Terms'!$H$17,V236))</f>
        <v/>
      </c>
      <c r="G236" s="12" t="str">
        <f t="shared" si="26"/>
        <v/>
      </c>
      <c r="H236" s="12" t="str">
        <f>IF(G236="","",IF('Loan Terms'!$C$13="Fixed",(E236="Yes")*J236+(E236="No")*'Loan Terms'!$H$19,PMT(F236/12,'Loan Terms'!$G$11-B236+1,-G236)))</f>
        <v/>
      </c>
      <c r="I236" s="12" t="str">
        <f>IF(B236="","",IF(B236='Loan Terms'!$H$9*12,G236,H236-J236))</f>
        <v/>
      </c>
      <c r="J236" s="130" t="str">
        <f>IF(B236="","",IF('Loan Terms'!$H$15="Actual/365",F236*(C236/365),F236*(C236/360))*G236)</f>
        <v/>
      </c>
      <c r="K236" s="12" t="str">
        <f t="shared" si="23"/>
        <v/>
      </c>
      <c r="L236" s="130" t="str">
        <f t="shared" si="27"/>
        <v/>
      </c>
      <c r="N236" s="14" t="str">
        <f t="shared" si="28"/>
        <v/>
      </c>
      <c r="S236" s="217" t="str">
        <f t="shared" si="24"/>
        <v/>
      </c>
      <c r="T236" s="218" t="str">
        <f t="shared" si="22"/>
        <v/>
      </c>
      <c r="U236" s="219" t="str">
        <f>IF(S236="","",'Loan Terms'!$H$14)</f>
        <v/>
      </c>
      <c r="V236" s="220" t="str">
        <f t="shared" si="29"/>
        <v/>
      </c>
    </row>
    <row r="237" spans="2:22" ht="14.25" customHeight="1" x14ac:dyDescent="0.2">
      <c r="B237" s="126" t="str">
        <f>IF(OR(B236="",B236='Loan Terms'!$H$9*12),"",B236+1)</f>
        <v/>
      </c>
      <c r="C237" s="128" t="str">
        <f>IF(B237="","",IF('Loan Terms'!$H$15="30/360",30,D237-D236))</f>
        <v/>
      </c>
      <c r="D237" s="129" t="str">
        <f t="shared" si="25"/>
        <v/>
      </c>
      <c r="E237" s="129" t="str">
        <f>IF(B237="","",IF(B237&lt;='Loan Terms'!$G$10,"Yes","No"))</f>
        <v/>
      </c>
      <c r="F237" s="101" t="str">
        <f>IF(B237="","",IF('Loan Terms'!$C$13="Fixed",'Loan Terms'!$H$17,V237))</f>
        <v/>
      </c>
      <c r="G237" s="12" t="str">
        <f t="shared" si="26"/>
        <v/>
      </c>
      <c r="H237" s="12" t="str">
        <f>IF(G237="","",IF('Loan Terms'!$C$13="Fixed",(E237="Yes")*J237+(E237="No")*'Loan Terms'!$H$19,PMT(F237/12,'Loan Terms'!$G$11-B237+1,-G237)))</f>
        <v/>
      </c>
      <c r="I237" s="12" t="str">
        <f>IF(B237="","",IF(B237='Loan Terms'!$H$9*12,G237,H237-J237))</f>
        <v/>
      </c>
      <c r="J237" s="130" t="str">
        <f>IF(B237="","",IF('Loan Terms'!$H$15="Actual/365",F237*(C237/365),F237*(C237/360))*G237)</f>
        <v/>
      </c>
      <c r="K237" s="12" t="str">
        <f t="shared" si="23"/>
        <v/>
      </c>
      <c r="L237" s="130" t="str">
        <f t="shared" si="27"/>
        <v/>
      </c>
      <c r="N237" s="14" t="str">
        <f t="shared" si="28"/>
        <v/>
      </c>
      <c r="S237" s="217" t="str">
        <f t="shared" si="24"/>
        <v/>
      </c>
      <c r="T237" s="218" t="str">
        <f t="shared" si="22"/>
        <v/>
      </c>
      <c r="U237" s="219" t="str">
        <f>IF(S237="","",'Loan Terms'!$H$14)</f>
        <v/>
      </c>
      <c r="V237" s="220" t="str">
        <f t="shared" si="29"/>
        <v/>
      </c>
    </row>
    <row r="238" spans="2:22" ht="14.25" customHeight="1" x14ac:dyDescent="0.2">
      <c r="B238" s="126" t="str">
        <f>IF(OR(B237="",B237='Loan Terms'!$H$9*12),"",B237+1)</f>
        <v/>
      </c>
      <c r="C238" s="128" t="str">
        <f>IF(B238="","",IF('Loan Terms'!$H$15="30/360",30,D238-D237))</f>
        <v/>
      </c>
      <c r="D238" s="129" t="str">
        <f t="shared" si="25"/>
        <v/>
      </c>
      <c r="E238" s="129" t="str">
        <f>IF(B238="","",IF(B238&lt;='Loan Terms'!$G$10,"Yes","No"))</f>
        <v/>
      </c>
      <c r="F238" s="101" t="str">
        <f>IF(B238="","",IF('Loan Terms'!$C$13="Fixed",'Loan Terms'!$H$17,V238))</f>
        <v/>
      </c>
      <c r="G238" s="12" t="str">
        <f t="shared" si="26"/>
        <v/>
      </c>
      <c r="H238" s="12" t="str">
        <f>IF(G238="","",IF('Loan Terms'!$C$13="Fixed",(E238="Yes")*J238+(E238="No")*'Loan Terms'!$H$19,PMT(F238/12,'Loan Terms'!$G$11-B238+1,-G238)))</f>
        <v/>
      </c>
      <c r="I238" s="12" t="str">
        <f>IF(B238="","",IF(B238='Loan Terms'!$H$9*12,G238,H238-J238))</f>
        <v/>
      </c>
      <c r="J238" s="130" t="str">
        <f>IF(B238="","",IF('Loan Terms'!$H$15="Actual/365",F238*(C238/365),F238*(C238/360))*G238)</f>
        <v/>
      </c>
      <c r="K238" s="12" t="str">
        <f t="shared" si="23"/>
        <v/>
      </c>
      <c r="L238" s="130" t="str">
        <f t="shared" si="27"/>
        <v/>
      </c>
      <c r="N238" s="14" t="str">
        <f t="shared" si="28"/>
        <v/>
      </c>
      <c r="S238" s="217" t="str">
        <f t="shared" si="24"/>
        <v/>
      </c>
      <c r="T238" s="218" t="str">
        <f t="shared" si="22"/>
        <v/>
      </c>
      <c r="U238" s="219" t="str">
        <f>IF(S238="","",'Loan Terms'!$H$14)</f>
        <v/>
      </c>
      <c r="V238" s="220" t="str">
        <f t="shared" si="29"/>
        <v/>
      </c>
    </row>
    <row r="239" spans="2:22" ht="14.25" customHeight="1" x14ac:dyDescent="0.2">
      <c r="B239" s="126" t="str">
        <f>IF(OR(B238="",B238='Loan Terms'!$H$9*12),"",B238+1)</f>
        <v/>
      </c>
      <c r="C239" s="128" t="str">
        <f>IF(B239="","",IF('Loan Terms'!$H$15="30/360",30,D239-D238))</f>
        <v/>
      </c>
      <c r="D239" s="129" t="str">
        <f t="shared" si="25"/>
        <v/>
      </c>
      <c r="E239" s="129" t="str">
        <f>IF(B239="","",IF(B239&lt;='Loan Terms'!$G$10,"Yes","No"))</f>
        <v/>
      </c>
      <c r="F239" s="101" t="str">
        <f>IF(B239="","",IF('Loan Terms'!$C$13="Fixed",'Loan Terms'!$H$17,V239))</f>
        <v/>
      </c>
      <c r="G239" s="12" t="str">
        <f t="shared" si="26"/>
        <v/>
      </c>
      <c r="H239" s="12" t="str">
        <f>IF(G239="","",IF('Loan Terms'!$C$13="Fixed",(E239="Yes")*J239+(E239="No")*'Loan Terms'!$H$19,PMT(F239/12,'Loan Terms'!$G$11-B239+1,-G239)))</f>
        <v/>
      </c>
      <c r="I239" s="12" t="str">
        <f>IF(B239="","",IF(B239='Loan Terms'!$H$9*12,G239,H239-J239))</f>
        <v/>
      </c>
      <c r="J239" s="130" t="str">
        <f>IF(B239="","",IF('Loan Terms'!$H$15="Actual/365",F239*(C239/365),F239*(C239/360))*G239)</f>
        <v/>
      </c>
      <c r="K239" s="12" t="str">
        <f t="shared" si="23"/>
        <v/>
      </c>
      <c r="L239" s="130" t="str">
        <f t="shared" si="27"/>
        <v/>
      </c>
      <c r="N239" s="14" t="str">
        <f t="shared" si="28"/>
        <v/>
      </c>
      <c r="S239" s="217" t="str">
        <f t="shared" si="24"/>
        <v/>
      </c>
      <c r="T239" s="218" t="str">
        <f t="shared" si="22"/>
        <v/>
      </c>
      <c r="U239" s="219" t="str">
        <f>IF(S239="","",'Loan Terms'!$H$14)</f>
        <v/>
      </c>
      <c r="V239" s="220" t="str">
        <f t="shared" si="29"/>
        <v/>
      </c>
    </row>
    <row r="240" spans="2:22" ht="14.25" customHeight="1" x14ac:dyDescent="0.2">
      <c r="B240" s="126" t="str">
        <f>IF(OR(B239="",B239='Loan Terms'!$H$9*12),"",B239+1)</f>
        <v/>
      </c>
      <c r="C240" s="128" t="str">
        <f>IF(B240="","",IF('Loan Terms'!$H$15="30/360",30,D240-D239))</f>
        <v/>
      </c>
      <c r="D240" s="129" t="str">
        <f t="shared" si="25"/>
        <v/>
      </c>
      <c r="E240" s="129" t="str">
        <f>IF(B240="","",IF(B240&lt;='Loan Terms'!$G$10,"Yes","No"))</f>
        <v/>
      </c>
      <c r="F240" s="101" t="str">
        <f>IF(B240="","",IF('Loan Terms'!$C$13="Fixed",'Loan Terms'!$H$17,V240))</f>
        <v/>
      </c>
      <c r="G240" s="12" t="str">
        <f t="shared" si="26"/>
        <v/>
      </c>
      <c r="H240" s="12" t="str">
        <f>IF(G240="","",IF('Loan Terms'!$C$13="Fixed",(E240="Yes")*J240+(E240="No")*'Loan Terms'!$H$19,PMT(F240/12,'Loan Terms'!$G$11-B240+1,-G240)))</f>
        <v/>
      </c>
      <c r="I240" s="12" t="str">
        <f>IF(B240="","",IF(B240='Loan Terms'!$H$9*12,G240,H240-J240))</f>
        <v/>
      </c>
      <c r="J240" s="130" t="str">
        <f>IF(B240="","",IF('Loan Terms'!$H$15="Actual/365",F240*(C240/365),F240*(C240/360))*G240)</f>
        <v/>
      </c>
      <c r="K240" s="12" t="str">
        <f t="shared" si="23"/>
        <v/>
      </c>
      <c r="L240" s="130" t="str">
        <f t="shared" si="27"/>
        <v/>
      </c>
      <c r="N240" s="14" t="str">
        <f t="shared" si="28"/>
        <v/>
      </c>
      <c r="S240" s="217" t="str">
        <f t="shared" si="24"/>
        <v/>
      </c>
      <c r="T240" s="218" t="str">
        <f t="shared" si="22"/>
        <v/>
      </c>
      <c r="U240" s="219" t="str">
        <f>IF(S240="","",'Loan Terms'!$H$14)</f>
        <v/>
      </c>
      <c r="V240" s="220" t="str">
        <f t="shared" si="29"/>
        <v/>
      </c>
    </row>
    <row r="241" spans="2:22" ht="14.25" customHeight="1" x14ac:dyDescent="0.2">
      <c r="B241" s="126" t="str">
        <f>IF(OR(B240="",B240='Loan Terms'!$H$9*12),"",B240+1)</f>
        <v/>
      </c>
      <c r="C241" s="128" t="str">
        <f>IF(B241="","",IF('Loan Terms'!$H$15="30/360",30,D241-D240))</f>
        <v/>
      </c>
      <c r="D241" s="129" t="str">
        <f t="shared" si="25"/>
        <v/>
      </c>
      <c r="E241" s="129" t="str">
        <f>IF(B241="","",IF(B241&lt;='Loan Terms'!$G$10,"Yes","No"))</f>
        <v/>
      </c>
      <c r="F241" s="101" t="str">
        <f>IF(B241="","",IF('Loan Terms'!$C$13="Fixed",'Loan Terms'!$H$17,V241))</f>
        <v/>
      </c>
      <c r="G241" s="12" t="str">
        <f t="shared" si="26"/>
        <v/>
      </c>
      <c r="H241" s="12" t="str">
        <f>IF(G241="","",IF('Loan Terms'!$C$13="Fixed",(E241="Yes")*J241+(E241="No")*'Loan Terms'!$H$19,PMT(F241/12,'Loan Terms'!$G$11-B241+1,-G241)))</f>
        <v/>
      </c>
      <c r="I241" s="12" t="str">
        <f>IF(B241="","",IF(B241='Loan Terms'!$H$9*12,G241,H241-J241))</f>
        <v/>
      </c>
      <c r="J241" s="130" t="str">
        <f>IF(B241="","",IF('Loan Terms'!$H$15="Actual/365",F241*(C241/365),F241*(C241/360))*G241)</f>
        <v/>
      </c>
      <c r="K241" s="12" t="str">
        <f t="shared" si="23"/>
        <v/>
      </c>
      <c r="L241" s="130" t="str">
        <f t="shared" si="27"/>
        <v/>
      </c>
      <c r="N241" s="14" t="str">
        <f t="shared" si="28"/>
        <v/>
      </c>
      <c r="S241" s="217" t="str">
        <f t="shared" si="24"/>
        <v/>
      </c>
      <c r="T241" s="218" t="str">
        <f t="shared" si="22"/>
        <v/>
      </c>
      <c r="U241" s="219" t="str">
        <f>IF(S241="","",'Loan Terms'!$H$14)</f>
        <v/>
      </c>
      <c r="V241" s="220" t="str">
        <f t="shared" si="29"/>
        <v/>
      </c>
    </row>
    <row r="242" spans="2:22" ht="14.25" customHeight="1" x14ac:dyDescent="0.2">
      <c r="B242" s="126" t="str">
        <f>IF(OR(B241="",B241='Loan Terms'!$H$9*12),"",B241+1)</f>
        <v/>
      </c>
      <c r="C242" s="128" t="str">
        <f>IF(B242="","",IF('Loan Terms'!$H$15="30/360",30,D242-D241))</f>
        <v/>
      </c>
      <c r="D242" s="129" t="str">
        <f t="shared" si="25"/>
        <v/>
      </c>
      <c r="E242" s="129" t="str">
        <f>IF(B242="","",IF(B242&lt;='Loan Terms'!$G$10,"Yes","No"))</f>
        <v/>
      </c>
      <c r="F242" s="101" t="str">
        <f>IF(B242="","",IF('Loan Terms'!$C$13="Fixed",'Loan Terms'!$H$17,V242))</f>
        <v/>
      </c>
      <c r="G242" s="12" t="str">
        <f t="shared" si="26"/>
        <v/>
      </c>
      <c r="H242" s="12" t="str">
        <f>IF(G242="","",IF('Loan Terms'!$C$13="Fixed",(E242="Yes")*J242+(E242="No")*'Loan Terms'!$H$19,PMT(F242/12,'Loan Terms'!$G$11-B242+1,-G242)))</f>
        <v/>
      </c>
      <c r="I242" s="12" t="str">
        <f>IF(B242="","",IF(B242='Loan Terms'!$H$9*12,G242,H242-J242))</f>
        <v/>
      </c>
      <c r="J242" s="130" t="str">
        <f>IF(B242="","",IF('Loan Terms'!$H$15="Actual/365",F242*(C242/365),F242*(C242/360))*G242)</f>
        <v/>
      </c>
      <c r="K242" s="12" t="str">
        <f t="shared" si="23"/>
        <v/>
      </c>
      <c r="L242" s="130" t="str">
        <f t="shared" si="27"/>
        <v/>
      </c>
      <c r="N242" s="14" t="str">
        <f t="shared" si="28"/>
        <v/>
      </c>
      <c r="S242" s="217" t="str">
        <f t="shared" si="24"/>
        <v/>
      </c>
      <c r="T242" s="218" t="str">
        <f t="shared" si="22"/>
        <v/>
      </c>
      <c r="U242" s="219" t="str">
        <f>IF(S242="","",'Loan Terms'!$H$14)</f>
        <v/>
      </c>
      <c r="V242" s="220" t="str">
        <f t="shared" si="29"/>
        <v/>
      </c>
    </row>
    <row r="243" spans="2:22" ht="14.25" customHeight="1" x14ac:dyDescent="0.2">
      <c r="B243" s="126" t="str">
        <f>IF(OR(B242="",B242='Loan Terms'!$H$9*12),"",B242+1)</f>
        <v/>
      </c>
      <c r="C243" s="128" t="str">
        <f>IF(B243="","",IF('Loan Terms'!$H$15="30/360",30,D243-D242))</f>
        <v/>
      </c>
      <c r="D243" s="129" t="str">
        <f t="shared" si="25"/>
        <v/>
      </c>
      <c r="E243" s="129" t="str">
        <f>IF(B243="","",IF(B243&lt;='Loan Terms'!$G$10,"Yes","No"))</f>
        <v/>
      </c>
      <c r="F243" s="101" t="str">
        <f>IF(B243="","",IF('Loan Terms'!$C$13="Fixed",'Loan Terms'!$H$17,V243))</f>
        <v/>
      </c>
      <c r="G243" s="12" t="str">
        <f t="shared" si="26"/>
        <v/>
      </c>
      <c r="H243" s="12" t="str">
        <f>IF(G243="","",IF('Loan Terms'!$C$13="Fixed",(E243="Yes")*J243+(E243="No")*'Loan Terms'!$H$19,PMT(F243/12,'Loan Terms'!$G$11-B243+1,-G243)))</f>
        <v/>
      </c>
      <c r="I243" s="12" t="str">
        <f>IF(B243="","",IF(B243='Loan Terms'!$H$9*12,G243,H243-J243))</f>
        <v/>
      </c>
      <c r="J243" s="130" t="str">
        <f>IF(B243="","",IF('Loan Terms'!$H$15="Actual/365",F243*(C243/365),F243*(C243/360))*G243)</f>
        <v/>
      </c>
      <c r="K243" s="12" t="str">
        <f t="shared" si="23"/>
        <v/>
      </c>
      <c r="L243" s="130" t="str">
        <f t="shared" si="27"/>
        <v/>
      </c>
      <c r="N243" s="14" t="str">
        <f t="shared" si="28"/>
        <v/>
      </c>
      <c r="S243" s="217" t="str">
        <f t="shared" si="24"/>
        <v/>
      </c>
      <c r="T243" s="218" t="str">
        <f t="shared" si="22"/>
        <v/>
      </c>
      <c r="U243" s="219" t="str">
        <f>IF(S243="","",'Loan Terms'!$H$14)</f>
        <v/>
      </c>
      <c r="V243" s="220" t="str">
        <f t="shared" si="29"/>
        <v/>
      </c>
    </row>
    <row r="244" spans="2:22" ht="14.25" customHeight="1" x14ac:dyDescent="0.2">
      <c r="B244" s="126" t="str">
        <f>IF(OR(B243="",B243='Loan Terms'!$H$9*12),"",B243+1)</f>
        <v/>
      </c>
      <c r="C244" s="128" t="str">
        <f>IF(B244="","",IF('Loan Terms'!$H$15="30/360",30,D244-D243))</f>
        <v/>
      </c>
      <c r="D244" s="129" t="str">
        <f t="shared" si="25"/>
        <v/>
      </c>
      <c r="E244" s="129" t="str">
        <f>IF(B244="","",IF(B244&lt;='Loan Terms'!$G$10,"Yes","No"))</f>
        <v/>
      </c>
      <c r="F244" s="101" t="str">
        <f>IF(B244="","",IF('Loan Terms'!$C$13="Fixed",'Loan Terms'!$H$17,V244))</f>
        <v/>
      </c>
      <c r="G244" s="12" t="str">
        <f t="shared" si="26"/>
        <v/>
      </c>
      <c r="H244" s="12" t="str">
        <f>IF(G244="","",IF('Loan Terms'!$C$13="Fixed",(E244="Yes")*J244+(E244="No")*'Loan Terms'!$H$19,PMT(F244/12,'Loan Terms'!$G$11-B244+1,-G244)))</f>
        <v/>
      </c>
      <c r="I244" s="12" t="str">
        <f>IF(B244="","",IF(B244='Loan Terms'!$H$9*12,G244,H244-J244))</f>
        <v/>
      </c>
      <c r="J244" s="130" t="str">
        <f>IF(B244="","",IF('Loan Terms'!$H$15="Actual/365",F244*(C244/365),F244*(C244/360))*G244)</f>
        <v/>
      </c>
      <c r="K244" s="12" t="str">
        <f t="shared" si="23"/>
        <v/>
      </c>
      <c r="L244" s="130" t="str">
        <f t="shared" si="27"/>
        <v/>
      </c>
      <c r="N244" s="14" t="str">
        <f t="shared" si="28"/>
        <v/>
      </c>
      <c r="S244" s="217" t="str">
        <f t="shared" si="24"/>
        <v/>
      </c>
      <c r="T244" s="218" t="str">
        <f t="shared" si="22"/>
        <v/>
      </c>
      <c r="U244" s="219" t="str">
        <f>IF(S244="","",'Loan Terms'!$H$14)</f>
        <v/>
      </c>
      <c r="V244" s="220" t="str">
        <f t="shared" si="29"/>
        <v/>
      </c>
    </row>
    <row r="245" spans="2:22" ht="14.25" customHeight="1" x14ac:dyDescent="0.2">
      <c r="B245" s="126" t="str">
        <f>IF(OR(B244="",B244='Loan Terms'!$H$9*12),"",B244+1)</f>
        <v/>
      </c>
      <c r="C245" s="128" t="str">
        <f>IF(B245="","",IF('Loan Terms'!$H$15="30/360",30,D245-D244))</f>
        <v/>
      </c>
      <c r="D245" s="129" t="str">
        <f t="shared" si="25"/>
        <v/>
      </c>
      <c r="E245" s="129" t="str">
        <f>IF(B245="","",IF(B245&lt;='Loan Terms'!$G$10,"Yes","No"))</f>
        <v/>
      </c>
      <c r="F245" s="101" t="str">
        <f>IF(B245="","",IF('Loan Terms'!$C$13="Fixed",'Loan Terms'!$H$17,V245))</f>
        <v/>
      </c>
      <c r="G245" s="12" t="str">
        <f t="shared" si="26"/>
        <v/>
      </c>
      <c r="H245" s="12" t="str">
        <f>IF(G245="","",IF('Loan Terms'!$C$13="Fixed",(E245="Yes")*J245+(E245="No")*'Loan Terms'!$H$19,PMT(F245/12,'Loan Terms'!$G$11-B245+1,-G245)))</f>
        <v/>
      </c>
      <c r="I245" s="12" t="str">
        <f>IF(B245="","",IF(B245='Loan Terms'!$H$9*12,G245,H245-J245))</f>
        <v/>
      </c>
      <c r="J245" s="130" t="str">
        <f>IF(B245="","",IF('Loan Terms'!$H$15="Actual/365",F245*(C245/365),F245*(C245/360))*G245)</f>
        <v/>
      </c>
      <c r="K245" s="12" t="str">
        <f t="shared" si="23"/>
        <v/>
      </c>
      <c r="L245" s="130" t="str">
        <f t="shared" si="27"/>
        <v/>
      </c>
      <c r="N245" s="14" t="str">
        <f t="shared" si="28"/>
        <v/>
      </c>
      <c r="S245" s="217" t="str">
        <f t="shared" si="24"/>
        <v/>
      </c>
      <c r="T245" s="218" t="str">
        <f t="shared" si="22"/>
        <v/>
      </c>
      <c r="U245" s="219" t="str">
        <f>IF(S245="","",'Loan Terms'!$H$14)</f>
        <v/>
      </c>
      <c r="V245" s="220" t="str">
        <f t="shared" si="29"/>
        <v/>
      </c>
    </row>
    <row r="246" spans="2:22" ht="14.25" customHeight="1" x14ac:dyDescent="0.2">
      <c r="B246" s="126" t="str">
        <f>IF(OR(B245="",B245='Loan Terms'!$H$9*12),"",B245+1)</f>
        <v/>
      </c>
      <c r="C246" s="128" t="str">
        <f>IF(B246="","",IF('Loan Terms'!$H$15="30/360",30,D246-D245))</f>
        <v/>
      </c>
      <c r="D246" s="129" t="str">
        <f t="shared" si="25"/>
        <v/>
      </c>
      <c r="E246" s="129" t="str">
        <f>IF(B246="","",IF(B246&lt;='Loan Terms'!$G$10,"Yes","No"))</f>
        <v/>
      </c>
      <c r="F246" s="101" t="str">
        <f>IF(B246="","",IF('Loan Terms'!$C$13="Fixed",'Loan Terms'!$H$17,V246))</f>
        <v/>
      </c>
      <c r="G246" s="12" t="str">
        <f t="shared" si="26"/>
        <v/>
      </c>
      <c r="H246" s="12" t="str">
        <f>IF(G246="","",IF('Loan Terms'!$C$13="Fixed",(E246="Yes")*J246+(E246="No")*'Loan Terms'!$H$19,PMT(F246/12,'Loan Terms'!$G$11-B246+1,-G246)))</f>
        <v/>
      </c>
      <c r="I246" s="12" t="str">
        <f>IF(B246="","",IF(B246='Loan Terms'!$H$9*12,G246,H246-J246))</f>
        <v/>
      </c>
      <c r="J246" s="130" t="str">
        <f>IF(B246="","",IF('Loan Terms'!$H$15="Actual/365",F246*(C246/365),F246*(C246/360))*G246)</f>
        <v/>
      </c>
      <c r="K246" s="12" t="str">
        <f t="shared" si="23"/>
        <v/>
      </c>
      <c r="L246" s="130" t="str">
        <f t="shared" si="27"/>
        <v/>
      </c>
      <c r="N246" s="14" t="str">
        <f t="shared" si="28"/>
        <v/>
      </c>
      <c r="S246" s="217" t="str">
        <f t="shared" si="24"/>
        <v/>
      </c>
      <c r="T246" s="218" t="str">
        <f t="shared" si="22"/>
        <v/>
      </c>
      <c r="U246" s="219" t="str">
        <f>IF(S246="","",'Loan Terms'!$H$14)</f>
        <v/>
      </c>
      <c r="V246" s="220" t="str">
        <f t="shared" si="29"/>
        <v/>
      </c>
    </row>
    <row r="247" spans="2:22" ht="14.25" customHeight="1" x14ac:dyDescent="0.2">
      <c r="B247" s="126" t="str">
        <f>IF(OR(B246="",B246='Loan Terms'!$H$9*12),"",B246+1)</f>
        <v/>
      </c>
      <c r="C247" s="128" t="str">
        <f>IF(B247="","",IF('Loan Terms'!$H$15="30/360",30,D247-D246))</f>
        <v/>
      </c>
      <c r="D247" s="129" t="str">
        <f t="shared" si="25"/>
        <v/>
      </c>
      <c r="E247" s="129" t="str">
        <f>IF(B247="","",IF(B247&lt;='Loan Terms'!$G$10,"Yes","No"))</f>
        <v/>
      </c>
      <c r="F247" s="101" t="str">
        <f>IF(B247="","",IF('Loan Terms'!$C$13="Fixed",'Loan Terms'!$H$17,V247))</f>
        <v/>
      </c>
      <c r="G247" s="12" t="str">
        <f t="shared" si="26"/>
        <v/>
      </c>
      <c r="H247" s="12" t="str">
        <f>IF(G247="","",IF('Loan Terms'!$C$13="Fixed",(E247="Yes")*J247+(E247="No")*'Loan Terms'!$H$19,PMT(F247/12,'Loan Terms'!$G$11-B247+1,-G247)))</f>
        <v/>
      </c>
      <c r="I247" s="12" t="str">
        <f>IF(B247="","",IF(B247='Loan Terms'!$H$9*12,G247,H247-J247))</f>
        <v/>
      </c>
      <c r="J247" s="130" t="str">
        <f>IF(B247="","",IF('Loan Terms'!$H$15="Actual/365",F247*(C247/365),F247*(C247/360))*G247)</f>
        <v/>
      </c>
      <c r="K247" s="12" t="str">
        <f t="shared" si="23"/>
        <v/>
      </c>
      <c r="L247" s="130" t="str">
        <f t="shared" si="27"/>
        <v/>
      </c>
      <c r="N247" s="14" t="str">
        <f t="shared" si="28"/>
        <v/>
      </c>
      <c r="S247" s="217" t="str">
        <f t="shared" si="24"/>
        <v/>
      </c>
      <c r="T247" s="218" t="str">
        <f t="shared" si="22"/>
        <v/>
      </c>
      <c r="U247" s="219" t="str">
        <f>IF(S247="","",'Loan Terms'!$H$14)</f>
        <v/>
      </c>
      <c r="V247" s="220" t="str">
        <f t="shared" si="29"/>
        <v/>
      </c>
    </row>
    <row r="248" spans="2:22" ht="14.25" customHeight="1" x14ac:dyDescent="0.2">
      <c r="B248" s="126" t="str">
        <f>IF(OR(B247="",B247='Loan Terms'!$H$9*12),"",B247+1)</f>
        <v/>
      </c>
      <c r="C248" s="128" t="str">
        <f>IF(B248="","",IF('Loan Terms'!$H$15="30/360",30,D248-D247))</f>
        <v/>
      </c>
      <c r="D248" s="129" t="str">
        <f t="shared" si="25"/>
        <v/>
      </c>
      <c r="E248" s="129" t="str">
        <f>IF(B248="","",IF(B248&lt;='Loan Terms'!$G$10,"Yes","No"))</f>
        <v/>
      </c>
      <c r="F248" s="101" t="str">
        <f>IF(B248="","",IF('Loan Terms'!$C$13="Fixed",'Loan Terms'!$H$17,V248))</f>
        <v/>
      </c>
      <c r="G248" s="12" t="str">
        <f t="shared" si="26"/>
        <v/>
      </c>
      <c r="H248" s="12" t="str">
        <f>IF(G248="","",IF('Loan Terms'!$C$13="Fixed",(E248="Yes")*J248+(E248="No")*'Loan Terms'!$H$19,PMT(F248/12,'Loan Terms'!$G$11-B248+1,-G248)))</f>
        <v/>
      </c>
      <c r="I248" s="12" t="str">
        <f>IF(B248="","",IF(B248='Loan Terms'!$H$9*12,G248,H248-J248))</f>
        <v/>
      </c>
      <c r="J248" s="130" t="str">
        <f>IF(B248="","",IF('Loan Terms'!$H$15="Actual/365",F248*(C248/365),F248*(C248/360))*G248)</f>
        <v/>
      </c>
      <c r="K248" s="12" t="str">
        <f t="shared" si="23"/>
        <v/>
      </c>
      <c r="L248" s="130" t="str">
        <f t="shared" si="27"/>
        <v/>
      </c>
      <c r="N248" s="14" t="str">
        <f t="shared" si="28"/>
        <v/>
      </c>
      <c r="S248" s="217" t="str">
        <f t="shared" si="24"/>
        <v/>
      </c>
      <c r="T248" s="218" t="str">
        <f t="shared" si="22"/>
        <v/>
      </c>
      <c r="U248" s="219" t="str">
        <f>IF(S248="","",'Loan Terms'!$H$14)</f>
        <v/>
      </c>
      <c r="V248" s="220" t="str">
        <f t="shared" si="29"/>
        <v/>
      </c>
    </row>
    <row r="249" spans="2:22" ht="14.25" customHeight="1" x14ac:dyDescent="0.2">
      <c r="B249" s="126" t="str">
        <f>IF(OR(B248="",B248='Loan Terms'!$H$9*12),"",B248+1)</f>
        <v/>
      </c>
      <c r="C249" s="128" t="str">
        <f>IF(B249="","",IF('Loan Terms'!$H$15="30/360",30,D249-D248))</f>
        <v/>
      </c>
      <c r="D249" s="129" t="str">
        <f t="shared" si="25"/>
        <v/>
      </c>
      <c r="E249" s="129" t="str">
        <f>IF(B249="","",IF(B249&lt;='Loan Terms'!$G$10,"Yes","No"))</f>
        <v/>
      </c>
      <c r="F249" s="101" t="str">
        <f>IF(B249="","",IF('Loan Terms'!$C$13="Fixed",'Loan Terms'!$H$17,V249))</f>
        <v/>
      </c>
      <c r="G249" s="12" t="str">
        <f t="shared" si="26"/>
        <v/>
      </c>
      <c r="H249" s="12" t="str">
        <f>IF(G249="","",IF('Loan Terms'!$C$13="Fixed",(E249="Yes")*J249+(E249="No")*'Loan Terms'!$H$19,PMT(F249/12,'Loan Terms'!$G$11-B249+1,-G249)))</f>
        <v/>
      </c>
      <c r="I249" s="12" t="str">
        <f>IF(B249="","",IF(B249='Loan Terms'!$H$9*12,G249,H249-J249))</f>
        <v/>
      </c>
      <c r="J249" s="130" t="str">
        <f>IF(B249="","",IF('Loan Terms'!$H$15="Actual/365",F249*(C249/365),F249*(C249/360))*G249)</f>
        <v/>
      </c>
      <c r="K249" s="12" t="str">
        <f t="shared" si="23"/>
        <v/>
      </c>
      <c r="L249" s="130" t="str">
        <f t="shared" si="27"/>
        <v/>
      </c>
      <c r="N249" s="14" t="str">
        <f t="shared" si="28"/>
        <v/>
      </c>
      <c r="S249" s="217" t="str">
        <f t="shared" si="24"/>
        <v/>
      </c>
      <c r="T249" s="218" t="str">
        <f t="shared" si="22"/>
        <v/>
      </c>
      <c r="U249" s="219" t="str">
        <f>IF(S249="","",'Loan Terms'!$H$14)</f>
        <v/>
      </c>
      <c r="V249" s="220" t="str">
        <f t="shared" si="29"/>
        <v/>
      </c>
    </row>
    <row r="250" spans="2:22" ht="14.25" customHeight="1" x14ac:dyDescent="0.2">
      <c r="B250" s="126" t="str">
        <f>IF(OR(B249="",B249='Loan Terms'!$H$9*12),"",B249+1)</f>
        <v/>
      </c>
      <c r="C250" s="128" t="str">
        <f>IF(B250="","",IF('Loan Terms'!$H$15="30/360",30,D250-D249))</f>
        <v/>
      </c>
      <c r="D250" s="129" t="str">
        <f t="shared" si="25"/>
        <v/>
      </c>
      <c r="E250" s="129" t="str">
        <f>IF(B250="","",IF(B250&lt;='Loan Terms'!$G$10,"Yes","No"))</f>
        <v/>
      </c>
      <c r="F250" s="101" t="str">
        <f>IF(B250="","",IF('Loan Terms'!$C$13="Fixed",'Loan Terms'!$H$17,V250))</f>
        <v/>
      </c>
      <c r="G250" s="12" t="str">
        <f t="shared" si="26"/>
        <v/>
      </c>
      <c r="H250" s="12" t="str">
        <f>IF(G250="","",IF('Loan Terms'!$C$13="Fixed",(E250="Yes")*J250+(E250="No")*'Loan Terms'!$H$19,PMT(F250/12,'Loan Terms'!$G$11-B250+1,-G250)))</f>
        <v/>
      </c>
      <c r="I250" s="12" t="str">
        <f>IF(B250="","",IF(B250='Loan Terms'!$H$9*12,G250,H250-J250))</f>
        <v/>
      </c>
      <c r="J250" s="130" t="str">
        <f>IF(B250="","",IF('Loan Terms'!$H$15="Actual/365",F250*(C250/365),F250*(C250/360))*G250)</f>
        <v/>
      </c>
      <c r="K250" s="12" t="str">
        <f t="shared" si="23"/>
        <v/>
      </c>
      <c r="L250" s="130" t="str">
        <f t="shared" si="27"/>
        <v/>
      </c>
      <c r="N250" s="14" t="str">
        <f t="shared" si="28"/>
        <v/>
      </c>
      <c r="S250" s="217" t="str">
        <f t="shared" si="24"/>
        <v/>
      </c>
      <c r="T250" s="218" t="str">
        <f t="shared" si="22"/>
        <v/>
      </c>
      <c r="U250" s="219" t="str">
        <f>IF(S250="","",'Loan Terms'!$H$14)</f>
        <v/>
      </c>
      <c r="V250" s="220" t="str">
        <f t="shared" si="29"/>
        <v/>
      </c>
    </row>
    <row r="251" spans="2:22" ht="14.25" customHeight="1" x14ac:dyDescent="0.2">
      <c r="B251" s="126" t="str">
        <f>IF(OR(B250="",B250='Loan Terms'!$H$9*12),"",B250+1)</f>
        <v/>
      </c>
      <c r="C251" s="128" t="str">
        <f>IF(B251="","",IF('Loan Terms'!$H$15="30/360",30,D251-D250))</f>
        <v/>
      </c>
      <c r="D251" s="129" t="str">
        <f t="shared" si="25"/>
        <v/>
      </c>
      <c r="E251" s="129" t="str">
        <f>IF(B251="","",IF(B251&lt;='Loan Terms'!$G$10,"Yes","No"))</f>
        <v/>
      </c>
      <c r="F251" s="101" t="str">
        <f>IF(B251="","",IF('Loan Terms'!$C$13="Fixed",'Loan Terms'!$H$17,V251))</f>
        <v/>
      </c>
      <c r="G251" s="12" t="str">
        <f t="shared" si="26"/>
        <v/>
      </c>
      <c r="H251" s="12" t="str">
        <f>IF(G251="","",IF('Loan Terms'!$C$13="Fixed",(E251="Yes")*J251+(E251="No")*'Loan Terms'!$H$19,PMT(F251/12,'Loan Terms'!$G$11-B251+1,-G251)))</f>
        <v/>
      </c>
      <c r="I251" s="12" t="str">
        <f>IF(B251="","",IF(B251='Loan Terms'!$H$9*12,G251,H251-J251))</f>
        <v/>
      </c>
      <c r="J251" s="130" t="str">
        <f>IF(B251="","",IF('Loan Terms'!$H$15="Actual/365",F251*(C251/365),F251*(C251/360))*G251)</f>
        <v/>
      </c>
      <c r="K251" s="12" t="str">
        <f t="shared" si="23"/>
        <v/>
      </c>
      <c r="L251" s="130" t="str">
        <f t="shared" si="27"/>
        <v/>
      </c>
      <c r="N251" s="14" t="str">
        <f t="shared" si="28"/>
        <v/>
      </c>
      <c r="S251" s="217" t="str">
        <f t="shared" si="24"/>
        <v/>
      </c>
      <c r="T251" s="218" t="str">
        <f t="shared" si="22"/>
        <v/>
      </c>
      <c r="U251" s="219" t="str">
        <f>IF(S251="","",'Loan Terms'!$H$14)</f>
        <v/>
      </c>
      <c r="V251" s="220" t="str">
        <f t="shared" si="29"/>
        <v/>
      </c>
    </row>
    <row r="252" spans="2:22" ht="14.25" customHeight="1" x14ac:dyDescent="0.2">
      <c r="B252" s="126" t="str">
        <f>IF(OR(B251="",B251='Loan Terms'!$H$9*12),"",B251+1)</f>
        <v/>
      </c>
      <c r="C252" s="128" t="str">
        <f>IF(B252="","",IF('Loan Terms'!$H$15="30/360",30,D252-D251))</f>
        <v/>
      </c>
      <c r="D252" s="129" t="str">
        <f t="shared" si="25"/>
        <v/>
      </c>
      <c r="E252" s="129" t="str">
        <f>IF(B252="","",IF(B252&lt;='Loan Terms'!$G$10,"Yes","No"))</f>
        <v/>
      </c>
      <c r="F252" s="101" t="str">
        <f>IF(B252="","",IF('Loan Terms'!$C$13="Fixed",'Loan Terms'!$H$17,V252))</f>
        <v/>
      </c>
      <c r="G252" s="12" t="str">
        <f t="shared" si="26"/>
        <v/>
      </c>
      <c r="H252" s="12" t="str">
        <f>IF(G252="","",IF('Loan Terms'!$C$13="Fixed",(E252="Yes")*J252+(E252="No")*'Loan Terms'!$H$19,PMT(F252/12,'Loan Terms'!$G$11-B252+1,-G252)))</f>
        <v/>
      </c>
      <c r="I252" s="12" t="str">
        <f>IF(B252="","",IF(B252='Loan Terms'!$H$9*12,G252,H252-J252))</f>
        <v/>
      </c>
      <c r="J252" s="130" t="str">
        <f>IF(B252="","",IF('Loan Terms'!$H$15="Actual/365",F252*(C252/365),F252*(C252/360))*G252)</f>
        <v/>
      </c>
      <c r="K252" s="12" t="str">
        <f t="shared" si="23"/>
        <v/>
      </c>
      <c r="L252" s="130" t="str">
        <f t="shared" si="27"/>
        <v/>
      </c>
      <c r="N252" s="14" t="str">
        <f t="shared" si="28"/>
        <v/>
      </c>
      <c r="S252" s="217" t="str">
        <f t="shared" si="24"/>
        <v/>
      </c>
      <c r="T252" s="218" t="str">
        <f t="shared" si="22"/>
        <v/>
      </c>
      <c r="U252" s="219" t="str">
        <f>IF(S252="","",'Loan Terms'!$H$14)</f>
        <v/>
      </c>
      <c r="V252" s="220" t="str">
        <f t="shared" si="29"/>
        <v/>
      </c>
    </row>
    <row r="253" spans="2:22" ht="14.25" customHeight="1" x14ac:dyDescent="0.2">
      <c r="B253" s="126" t="str">
        <f>IF(OR(B252="",B252='Loan Terms'!$H$9*12),"",B252+1)</f>
        <v/>
      </c>
      <c r="C253" s="128" t="str">
        <f>IF(B253="","",IF('Loan Terms'!$H$15="30/360",30,D253-D252))</f>
        <v/>
      </c>
      <c r="D253" s="129" t="str">
        <f t="shared" si="25"/>
        <v/>
      </c>
      <c r="E253" s="129" t="str">
        <f>IF(B253="","",IF(B253&lt;='Loan Terms'!$G$10,"Yes","No"))</f>
        <v/>
      </c>
      <c r="F253" s="101" t="str">
        <f>IF(B253="","",IF('Loan Terms'!$C$13="Fixed",'Loan Terms'!$H$17,V253))</f>
        <v/>
      </c>
      <c r="G253" s="12" t="str">
        <f t="shared" si="26"/>
        <v/>
      </c>
      <c r="H253" s="12" t="str">
        <f>IF(G253="","",IF('Loan Terms'!$C$13="Fixed",(E253="Yes")*J253+(E253="No")*'Loan Terms'!$H$19,PMT(F253/12,'Loan Terms'!$G$11-B253+1,-G253)))</f>
        <v/>
      </c>
      <c r="I253" s="12" t="str">
        <f>IF(B253="","",IF(B253='Loan Terms'!$H$9*12,G253,H253-J253))</f>
        <v/>
      </c>
      <c r="J253" s="130" t="str">
        <f>IF(B253="","",IF('Loan Terms'!$H$15="Actual/365",F253*(C253/365),F253*(C253/360))*G253)</f>
        <v/>
      </c>
      <c r="K253" s="12" t="str">
        <f t="shared" si="23"/>
        <v/>
      </c>
      <c r="L253" s="130" t="str">
        <f t="shared" si="27"/>
        <v/>
      </c>
      <c r="N253" s="14" t="str">
        <f t="shared" si="28"/>
        <v/>
      </c>
      <c r="S253" s="217" t="str">
        <f t="shared" si="24"/>
        <v/>
      </c>
      <c r="T253" s="218" t="str">
        <f t="shared" si="22"/>
        <v/>
      </c>
      <c r="U253" s="219" t="str">
        <f>IF(S253="","",'Loan Terms'!$H$14)</f>
        <v/>
      </c>
      <c r="V253" s="220" t="str">
        <f t="shared" si="29"/>
        <v/>
      </c>
    </row>
    <row r="254" spans="2:22" ht="14.25" customHeight="1" x14ac:dyDescent="0.2">
      <c r="B254" s="126" t="str">
        <f>IF(OR(B253="",B253='Loan Terms'!$H$9*12),"",B253+1)</f>
        <v/>
      </c>
      <c r="C254" s="128" t="str">
        <f>IF(B254="","",IF('Loan Terms'!$H$15="30/360",30,D254-D253))</f>
        <v/>
      </c>
      <c r="D254" s="129" t="str">
        <f t="shared" si="25"/>
        <v/>
      </c>
      <c r="E254" s="129" t="str">
        <f>IF(B254="","",IF(B254&lt;='Loan Terms'!$G$10,"Yes","No"))</f>
        <v/>
      </c>
      <c r="F254" s="101" t="str">
        <f>IF(B254="","",IF('Loan Terms'!$C$13="Fixed",'Loan Terms'!$H$17,V254))</f>
        <v/>
      </c>
      <c r="G254" s="12" t="str">
        <f t="shared" si="26"/>
        <v/>
      </c>
      <c r="H254" s="12" t="str">
        <f>IF(G254="","",IF('Loan Terms'!$C$13="Fixed",(E254="Yes")*J254+(E254="No")*'Loan Terms'!$H$19,PMT(F254/12,'Loan Terms'!$G$11-B254+1,-G254)))</f>
        <v/>
      </c>
      <c r="I254" s="12" t="str">
        <f>IF(B254="","",IF(B254='Loan Terms'!$H$9*12,G254,H254-J254))</f>
        <v/>
      </c>
      <c r="J254" s="130" t="str">
        <f>IF(B254="","",IF('Loan Terms'!$H$15="Actual/365",F254*(C254/365),F254*(C254/360))*G254)</f>
        <v/>
      </c>
      <c r="K254" s="12" t="str">
        <f t="shared" si="23"/>
        <v/>
      </c>
      <c r="L254" s="130" t="str">
        <f t="shared" si="27"/>
        <v/>
      </c>
      <c r="N254" s="14" t="str">
        <f t="shared" si="28"/>
        <v/>
      </c>
      <c r="S254" s="217" t="str">
        <f t="shared" si="24"/>
        <v/>
      </c>
      <c r="T254" s="218" t="str">
        <f t="shared" si="22"/>
        <v/>
      </c>
      <c r="U254" s="219" t="str">
        <f>IF(S254="","",'Loan Terms'!$H$14)</f>
        <v/>
      </c>
      <c r="V254" s="220" t="str">
        <f t="shared" si="29"/>
        <v/>
      </c>
    </row>
    <row r="255" spans="2:22" ht="14.25" customHeight="1" x14ac:dyDescent="0.2">
      <c r="B255" s="126" t="str">
        <f>IF(OR(B254="",B254='Loan Terms'!$H$9*12),"",B254+1)</f>
        <v/>
      </c>
      <c r="C255" s="128" t="str">
        <f>IF(B255="","",IF('Loan Terms'!$H$15="30/360",30,D255-D254))</f>
        <v/>
      </c>
      <c r="D255" s="129" t="str">
        <f t="shared" si="25"/>
        <v/>
      </c>
      <c r="E255" s="129" t="str">
        <f>IF(B255="","",IF(B255&lt;='Loan Terms'!$G$10,"Yes","No"))</f>
        <v/>
      </c>
      <c r="F255" s="101" t="str">
        <f>IF(B255="","",IF('Loan Terms'!$C$13="Fixed",'Loan Terms'!$H$17,V255))</f>
        <v/>
      </c>
      <c r="G255" s="12" t="str">
        <f t="shared" si="26"/>
        <v/>
      </c>
      <c r="H255" s="12" t="str">
        <f>IF(G255="","",IF('Loan Terms'!$C$13="Fixed",(E255="Yes")*J255+(E255="No")*'Loan Terms'!$H$19,PMT(F255/12,'Loan Terms'!$G$11-B255+1,-G255)))</f>
        <v/>
      </c>
      <c r="I255" s="12" t="str">
        <f>IF(B255="","",IF(B255='Loan Terms'!$H$9*12,G255,H255-J255))</f>
        <v/>
      </c>
      <c r="J255" s="130" t="str">
        <f>IF(B255="","",IF('Loan Terms'!$H$15="Actual/365",F255*(C255/365),F255*(C255/360))*G255)</f>
        <v/>
      </c>
      <c r="K255" s="12" t="str">
        <f t="shared" si="23"/>
        <v/>
      </c>
      <c r="L255" s="130" t="str">
        <f t="shared" si="27"/>
        <v/>
      </c>
      <c r="N255" s="14" t="str">
        <f t="shared" si="28"/>
        <v/>
      </c>
      <c r="S255" s="217" t="str">
        <f t="shared" si="24"/>
        <v/>
      </c>
      <c r="T255" s="218" t="str">
        <f t="shared" ref="T255:T318" si="30">IF(S255="","",T254)</f>
        <v/>
      </c>
      <c r="U255" s="219" t="str">
        <f>IF(S255="","",'Loan Terms'!$H$14)</f>
        <v/>
      </c>
      <c r="V255" s="220" t="str">
        <f t="shared" si="29"/>
        <v/>
      </c>
    </row>
    <row r="256" spans="2:22" ht="14.25" customHeight="1" x14ac:dyDescent="0.2">
      <c r="B256" s="126" t="str">
        <f>IF(OR(B255="",B255='Loan Terms'!$H$9*12),"",B255+1)</f>
        <v/>
      </c>
      <c r="C256" s="128" t="str">
        <f>IF(B256="","",IF('Loan Terms'!$H$15="30/360",30,D256-D255))</f>
        <v/>
      </c>
      <c r="D256" s="129" t="str">
        <f t="shared" si="25"/>
        <v/>
      </c>
      <c r="E256" s="129" t="str">
        <f>IF(B256="","",IF(B256&lt;='Loan Terms'!$G$10,"Yes","No"))</f>
        <v/>
      </c>
      <c r="F256" s="101" t="str">
        <f>IF(B256="","",IF('Loan Terms'!$C$13="Fixed",'Loan Terms'!$H$17,V256))</f>
        <v/>
      </c>
      <c r="G256" s="12" t="str">
        <f t="shared" si="26"/>
        <v/>
      </c>
      <c r="H256" s="12" t="str">
        <f>IF(G256="","",IF('Loan Terms'!$C$13="Fixed",(E256="Yes")*J256+(E256="No")*'Loan Terms'!$H$19,PMT(F256/12,'Loan Terms'!$G$11-B256+1,-G256)))</f>
        <v/>
      </c>
      <c r="I256" s="12" t="str">
        <f>IF(B256="","",IF(B256='Loan Terms'!$H$9*12,G256,H256-J256))</f>
        <v/>
      </c>
      <c r="J256" s="130" t="str">
        <f>IF(B256="","",IF('Loan Terms'!$H$15="Actual/365",F256*(C256/365),F256*(C256/360))*G256)</f>
        <v/>
      </c>
      <c r="K256" s="12" t="str">
        <f t="shared" si="23"/>
        <v/>
      </c>
      <c r="L256" s="130" t="str">
        <f t="shared" si="27"/>
        <v/>
      </c>
      <c r="N256" s="14" t="str">
        <f t="shared" si="28"/>
        <v/>
      </c>
      <c r="S256" s="217" t="str">
        <f t="shared" si="24"/>
        <v/>
      </c>
      <c r="T256" s="218" t="str">
        <f t="shared" si="30"/>
        <v/>
      </c>
      <c r="U256" s="219" t="str">
        <f>IF(S256="","",'Loan Terms'!$H$14)</f>
        <v/>
      </c>
      <c r="V256" s="220" t="str">
        <f t="shared" si="29"/>
        <v/>
      </c>
    </row>
    <row r="257" spans="2:22" ht="14.25" customHeight="1" x14ac:dyDescent="0.2">
      <c r="B257" s="126" t="str">
        <f>IF(OR(B256="",B256='Loan Terms'!$H$9*12),"",B256+1)</f>
        <v/>
      </c>
      <c r="C257" s="128" t="str">
        <f>IF(B257="","",IF('Loan Terms'!$H$15="30/360",30,D257-D256))</f>
        <v/>
      </c>
      <c r="D257" s="129" t="str">
        <f t="shared" si="25"/>
        <v/>
      </c>
      <c r="E257" s="129" t="str">
        <f>IF(B257="","",IF(B257&lt;='Loan Terms'!$G$10,"Yes","No"))</f>
        <v/>
      </c>
      <c r="F257" s="101" t="str">
        <f>IF(B257="","",IF('Loan Terms'!$C$13="Fixed",'Loan Terms'!$H$17,V257))</f>
        <v/>
      </c>
      <c r="G257" s="12" t="str">
        <f t="shared" si="26"/>
        <v/>
      </c>
      <c r="H257" s="12" t="str">
        <f>IF(G257="","",IF('Loan Terms'!$C$13="Fixed",(E257="Yes")*J257+(E257="No")*'Loan Terms'!$H$19,PMT(F257/12,'Loan Terms'!$G$11-B257+1,-G257)))</f>
        <v/>
      </c>
      <c r="I257" s="12" t="str">
        <f>IF(B257="","",IF(B257='Loan Terms'!$H$9*12,G257,H257-J257))</f>
        <v/>
      </c>
      <c r="J257" s="130" t="str">
        <f>IF(B257="","",IF('Loan Terms'!$H$15="Actual/365",F257*(C257/365),F257*(C257/360))*G257)</f>
        <v/>
      </c>
      <c r="K257" s="12" t="str">
        <f t="shared" si="23"/>
        <v/>
      </c>
      <c r="L257" s="130" t="str">
        <f t="shared" si="27"/>
        <v/>
      </c>
      <c r="N257" s="14" t="str">
        <f t="shared" si="28"/>
        <v/>
      </c>
      <c r="S257" s="217" t="str">
        <f t="shared" si="24"/>
        <v/>
      </c>
      <c r="T257" s="218" t="str">
        <f t="shared" si="30"/>
        <v/>
      </c>
      <c r="U257" s="219" t="str">
        <f>IF(S257="","",'Loan Terms'!$H$14)</f>
        <v/>
      </c>
      <c r="V257" s="220" t="str">
        <f t="shared" si="29"/>
        <v/>
      </c>
    </row>
    <row r="258" spans="2:22" ht="14.25" customHeight="1" x14ac:dyDescent="0.2">
      <c r="B258" s="126" t="str">
        <f>IF(OR(B257="",B257='Loan Terms'!$H$9*12),"",B257+1)</f>
        <v/>
      </c>
      <c r="C258" s="128" t="str">
        <f>IF(B258="","",IF('Loan Terms'!$H$15="30/360",30,D258-D257))</f>
        <v/>
      </c>
      <c r="D258" s="129" t="str">
        <f t="shared" si="25"/>
        <v/>
      </c>
      <c r="E258" s="129" t="str">
        <f>IF(B258="","",IF(B258&lt;='Loan Terms'!$G$10,"Yes","No"))</f>
        <v/>
      </c>
      <c r="F258" s="101" t="str">
        <f>IF(B258="","",IF('Loan Terms'!$C$13="Fixed",'Loan Terms'!$H$17,V258))</f>
        <v/>
      </c>
      <c r="G258" s="12" t="str">
        <f t="shared" si="26"/>
        <v/>
      </c>
      <c r="H258" s="12" t="str">
        <f>IF(G258="","",IF('Loan Terms'!$C$13="Fixed",(E258="Yes")*J258+(E258="No")*'Loan Terms'!$H$19,PMT(F258/12,'Loan Terms'!$G$11-B258+1,-G258)))</f>
        <v/>
      </c>
      <c r="I258" s="12" t="str">
        <f>IF(B258="","",IF(B258='Loan Terms'!$H$9*12,G258,H258-J258))</f>
        <v/>
      </c>
      <c r="J258" s="130" t="str">
        <f>IF(B258="","",IF('Loan Terms'!$H$15="Actual/365",F258*(C258/365),F258*(C258/360))*G258)</f>
        <v/>
      </c>
      <c r="K258" s="12" t="str">
        <f t="shared" si="23"/>
        <v/>
      </c>
      <c r="L258" s="130" t="str">
        <f t="shared" si="27"/>
        <v/>
      </c>
      <c r="N258" s="14" t="str">
        <f t="shared" si="28"/>
        <v/>
      </c>
      <c r="S258" s="217" t="str">
        <f t="shared" si="24"/>
        <v/>
      </c>
      <c r="T258" s="218" t="str">
        <f t="shared" si="30"/>
        <v/>
      </c>
      <c r="U258" s="219" t="str">
        <f>IF(S258="","",'Loan Terms'!$H$14)</f>
        <v/>
      </c>
      <c r="V258" s="220" t="str">
        <f t="shared" si="29"/>
        <v/>
      </c>
    </row>
    <row r="259" spans="2:22" ht="14.25" customHeight="1" x14ac:dyDescent="0.2">
      <c r="B259" s="126" t="str">
        <f>IF(OR(B258="",B258='Loan Terms'!$H$9*12),"",B258+1)</f>
        <v/>
      </c>
      <c r="C259" s="128" t="str">
        <f>IF(B259="","",IF('Loan Terms'!$H$15="30/360",30,D259-D258))</f>
        <v/>
      </c>
      <c r="D259" s="129" t="str">
        <f t="shared" si="25"/>
        <v/>
      </c>
      <c r="E259" s="129" t="str">
        <f>IF(B259="","",IF(B259&lt;='Loan Terms'!$G$10,"Yes","No"))</f>
        <v/>
      </c>
      <c r="F259" s="101" t="str">
        <f>IF(B259="","",IF('Loan Terms'!$C$13="Fixed",'Loan Terms'!$H$17,V259))</f>
        <v/>
      </c>
      <c r="G259" s="12" t="str">
        <f t="shared" si="26"/>
        <v/>
      </c>
      <c r="H259" s="12" t="str">
        <f>IF(G259="","",IF('Loan Terms'!$C$13="Fixed",(E259="Yes")*J259+(E259="No")*'Loan Terms'!$H$19,PMT(F259/12,'Loan Terms'!$G$11-B259+1,-G259)))</f>
        <v/>
      </c>
      <c r="I259" s="12" t="str">
        <f>IF(B259="","",IF(B259='Loan Terms'!$H$9*12,G259,H259-J259))</f>
        <v/>
      </c>
      <c r="J259" s="130" t="str">
        <f>IF(B259="","",IF('Loan Terms'!$H$15="Actual/365",F259*(C259/365),F259*(C259/360))*G259)</f>
        <v/>
      </c>
      <c r="K259" s="12" t="str">
        <f t="shared" si="23"/>
        <v/>
      </c>
      <c r="L259" s="130" t="str">
        <f t="shared" si="27"/>
        <v/>
      </c>
      <c r="N259" s="14" t="str">
        <f t="shared" si="28"/>
        <v/>
      </c>
      <c r="S259" s="217" t="str">
        <f t="shared" si="24"/>
        <v/>
      </c>
      <c r="T259" s="218" t="str">
        <f t="shared" si="30"/>
        <v/>
      </c>
      <c r="U259" s="219" t="str">
        <f>IF(S259="","",'Loan Terms'!$H$14)</f>
        <v/>
      </c>
      <c r="V259" s="220" t="str">
        <f t="shared" si="29"/>
        <v/>
      </c>
    </row>
    <row r="260" spans="2:22" ht="14.25" customHeight="1" x14ac:dyDescent="0.2">
      <c r="B260" s="126" t="str">
        <f>IF(OR(B259="",B259='Loan Terms'!$H$9*12),"",B259+1)</f>
        <v/>
      </c>
      <c r="C260" s="128" t="str">
        <f>IF(B260="","",IF('Loan Terms'!$H$15="30/360",30,D260-D259))</f>
        <v/>
      </c>
      <c r="D260" s="129" t="str">
        <f t="shared" si="25"/>
        <v/>
      </c>
      <c r="E260" s="129" t="str">
        <f>IF(B260="","",IF(B260&lt;='Loan Terms'!$G$10,"Yes","No"))</f>
        <v/>
      </c>
      <c r="F260" s="101" t="str">
        <f>IF(B260="","",IF('Loan Terms'!$C$13="Fixed",'Loan Terms'!$H$17,V260))</f>
        <v/>
      </c>
      <c r="G260" s="12" t="str">
        <f t="shared" si="26"/>
        <v/>
      </c>
      <c r="H260" s="12" t="str">
        <f>IF(G260="","",IF('Loan Terms'!$C$13="Fixed",(E260="Yes")*J260+(E260="No")*'Loan Terms'!$H$19,PMT(F260/12,'Loan Terms'!$G$11-B260+1,-G260)))</f>
        <v/>
      </c>
      <c r="I260" s="12" t="str">
        <f>IF(B260="","",IF(B260='Loan Terms'!$H$9*12,G260,H260-J260))</f>
        <v/>
      </c>
      <c r="J260" s="130" t="str">
        <f>IF(B260="","",IF('Loan Terms'!$H$15="Actual/365",F260*(C260/365),F260*(C260/360))*G260)</f>
        <v/>
      </c>
      <c r="K260" s="12" t="str">
        <f t="shared" si="23"/>
        <v/>
      </c>
      <c r="L260" s="130" t="str">
        <f t="shared" si="27"/>
        <v/>
      </c>
      <c r="N260" s="14" t="str">
        <f t="shared" si="28"/>
        <v/>
      </c>
      <c r="S260" s="217" t="str">
        <f t="shared" si="24"/>
        <v/>
      </c>
      <c r="T260" s="218" t="str">
        <f t="shared" si="30"/>
        <v/>
      </c>
      <c r="U260" s="219" t="str">
        <f>IF(S260="","",'Loan Terms'!$H$14)</f>
        <v/>
      </c>
      <c r="V260" s="220" t="str">
        <f t="shared" si="29"/>
        <v/>
      </c>
    </row>
    <row r="261" spans="2:22" ht="14.25" customHeight="1" x14ac:dyDescent="0.2">
      <c r="B261" s="126" t="str">
        <f>IF(OR(B260="",B260='Loan Terms'!$H$9*12),"",B260+1)</f>
        <v/>
      </c>
      <c r="C261" s="128" t="str">
        <f>IF(B261="","",IF('Loan Terms'!$H$15="30/360",30,D261-D260))</f>
        <v/>
      </c>
      <c r="D261" s="129" t="str">
        <f t="shared" si="25"/>
        <v/>
      </c>
      <c r="E261" s="129" t="str">
        <f>IF(B261="","",IF(B261&lt;='Loan Terms'!$G$10,"Yes","No"))</f>
        <v/>
      </c>
      <c r="F261" s="101" t="str">
        <f>IF(B261="","",IF('Loan Terms'!$C$13="Fixed",'Loan Terms'!$H$17,V261))</f>
        <v/>
      </c>
      <c r="G261" s="12" t="str">
        <f t="shared" si="26"/>
        <v/>
      </c>
      <c r="H261" s="12" t="str">
        <f>IF(G261="","",IF('Loan Terms'!$C$13="Fixed",(E261="Yes")*J261+(E261="No")*'Loan Terms'!$H$19,PMT(F261/12,'Loan Terms'!$G$11-B261+1,-G261)))</f>
        <v/>
      </c>
      <c r="I261" s="12" t="str">
        <f>IF(B261="","",IF(B261='Loan Terms'!$H$9*12,G261,H261-J261))</f>
        <v/>
      </c>
      <c r="J261" s="130" t="str">
        <f>IF(B261="","",IF('Loan Terms'!$H$15="Actual/365",F261*(C261/365),F261*(C261/360))*G261)</f>
        <v/>
      </c>
      <c r="K261" s="12" t="str">
        <f t="shared" si="23"/>
        <v/>
      </c>
      <c r="L261" s="130" t="str">
        <f t="shared" si="27"/>
        <v/>
      </c>
      <c r="N261" s="14" t="str">
        <f t="shared" si="28"/>
        <v/>
      </c>
      <c r="S261" s="217" t="str">
        <f t="shared" si="24"/>
        <v/>
      </c>
      <c r="T261" s="218" t="str">
        <f t="shared" si="30"/>
        <v/>
      </c>
      <c r="U261" s="219" t="str">
        <f>IF(S261="","",'Loan Terms'!$H$14)</f>
        <v/>
      </c>
      <c r="V261" s="220" t="str">
        <f t="shared" si="29"/>
        <v/>
      </c>
    </row>
    <row r="262" spans="2:22" ht="14.25" customHeight="1" x14ac:dyDescent="0.2">
      <c r="B262" s="126" t="str">
        <f>IF(OR(B261="",B261='Loan Terms'!$H$9*12),"",B261+1)</f>
        <v/>
      </c>
      <c r="C262" s="128" t="str">
        <f>IF(B262="","",IF('Loan Terms'!$H$15="30/360",30,D262-D261))</f>
        <v/>
      </c>
      <c r="D262" s="129" t="str">
        <f t="shared" si="25"/>
        <v/>
      </c>
      <c r="E262" s="129" t="str">
        <f>IF(B262="","",IF(B262&lt;='Loan Terms'!$G$10,"Yes","No"))</f>
        <v/>
      </c>
      <c r="F262" s="101" t="str">
        <f>IF(B262="","",IF('Loan Terms'!$C$13="Fixed",'Loan Terms'!$H$17,V262))</f>
        <v/>
      </c>
      <c r="G262" s="12" t="str">
        <f t="shared" si="26"/>
        <v/>
      </c>
      <c r="H262" s="12" t="str">
        <f>IF(G262="","",IF('Loan Terms'!$C$13="Fixed",(E262="Yes")*J262+(E262="No")*'Loan Terms'!$H$19,PMT(F262/12,'Loan Terms'!$G$11-B262+1,-G262)))</f>
        <v/>
      </c>
      <c r="I262" s="12" t="str">
        <f>IF(B262="","",IF(B262='Loan Terms'!$H$9*12,G262,H262-J262))</f>
        <v/>
      </c>
      <c r="J262" s="130" t="str">
        <f>IF(B262="","",IF('Loan Terms'!$H$15="Actual/365",F262*(C262/365),F262*(C262/360))*G262)</f>
        <v/>
      </c>
      <c r="K262" s="12" t="str">
        <f t="shared" ref="K262:K325" si="31">IF(B262="","",G262-I262)</f>
        <v/>
      </c>
      <c r="L262" s="130" t="str">
        <f t="shared" si="27"/>
        <v/>
      </c>
      <c r="N262" s="14" t="str">
        <f t="shared" si="28"/>
        <v/>
      </c>
      <c r="S262" s="217" t="str">
        <f t="shared" ref="S262:S325" si="32">D262</f>
        <v/>
      </c>
      <c r="T262" s="218" t="str">
        <f t="shared" si="30"/>
        <v/>
      </c>
      <c r="U262" s="219" t="str">
        <f>IF(S262="","",'Loan Terms'!$H$14)</f>
        <v/>
      </c>
      <c r="V262" s="220" t="str">
        <f t="shared" si="29"/>
        <v/>
      </c>
    </row>
    <row r="263" spans="2:22" ht="14.25" customHeight="1" x14ac:dyDescent="0.2">
      <c r="B263" s="126" t="str">
        <f>IF(OR(B262="",B262='Loan Terms'!$H$9*12),"",B262+1)</f>
        <v/>
      </c>
      <c r="C263" s="128" t="str">
        <f>IF(B263="","",IF('Loan Terms'!$H$15="30/360",30,D263-D262))</f>
        <v/>
      </c>
      <c r="D263" s="129" t="str">
        <f t="shared" ref="D263:D326" si="33">IF(B263="","",EDATE(D262,1))</f>
        <v/>
      </c>
      <c r="E263" s="129" t="str">
        <f>IF(B263="","",IF(B263&lt;='Loan Terms'!$G$10,"Yes","No"))</f>
        <v/>
      </c>
      <c r="F263" s="101" t="str">
        <f>IF(B263="","",IF('Loan Terms'!$C$13="Fixed",'Loan Terms'!$H$17,V263))</f>
        <v/>
      </c>
      <c r="G263" s="12" t="str">
        <f t="shared" ref="G263:G326" si="34">IF(B263="","",K262)</f>
        <v/>
      </c>
      <c r="H263" s="12" t="str">
        <f>IF(G263="","",IF('Loan Terms'!$C$13="Fixed",(E263="Yes")*J263+(E263="No")*'Loan Terms'!$H$19,PMT(F263/12,'Loan Terms'!$G$11-B263+1,-G263)))</f>
        <v/>
      </c>
      <c r="I263" s="12" t="str">
        <f>IF(B263="","",IF(B263='Loan Terms'!$H$9*12,G263,H263-J263))</f>
        <v/>
      </c>
      <c r="J263" s="130" t="str">
        <f>IF(B263="","",IF('Loan Terms'!$H$15="Actual/365",F263*(C263/365),F263*(C263/360))*G263)</f>
        <v/>
      </c>
      <c r="K263" s="12" t="str">
        <f t="shared" si="31"/>
        <v/>
      </c>
      <c r="L263" s="130" t="str">
        <f t="shared" ref="L263:L326" si="35">IF(B263="","",J263+I263)</f>
        <v/>
      </c>
      <c r="N263" s="14" t="str">
        <f t="shared" ref="N263:N326" si="36">IF(B263="","",I263*B263)</f>
        <v/>
      </c>
      <c r="S263" s="217" t="str">
        <f t="shared" si="32"/>
        <v/>
      </c>
      <c r="T263" s="218" t="str">
        <f t="shared" si="30"/>
        <v/>
      </c>
      <c r="U263" s="219" t="str">
        <f>IF(S263="","",'Loan Terms'!$H$14)</f>
        <v/>
      </c>
      <c r="V263" s="220" t="str">
        <f t="shared" ref="V263:V326" si="37">IF(S263="","",T263+U263/10000)</f>
        <v/>
      </c>
    </row>
    <row r="264" spans="2:22" ht="14.25" customHeight="1" x14ac:dyDescent="0.2">
      <c r="B264" s="126" t="str">
        <f>IF(OR(B263="",B263='Loan Terms'!$H$9*12),"",B263+1)</f>
        <v/>
      </c>
      <c r="C264" s="128" t="str">
        <f>IF(B264="","",IF('Loan Terms'!$H$15="30/360",30,D264-D263))</f>
        <v/>
      </c>
      <c r="D264" s="129" t="str">
        <f t="shared" si="33"/>
        <v/>
      </c>
      <c r="E264" s="129" t="str">
        <f>IF(B264="","",IF(B264&lt;='Loan Terms'!$G$10,"Yes","No"))</f>
        <v/>
      </c>
      <c r="F264" s="101" t="str">
        <f>IF(B264="","",IF('Loan Terms'!$C$13="Fixed",'Loan Terms'!$H$17,V264))</f>
        <v/>
      </c>
      <c r="G264" s="12" t="str">
        <f t="shared" si="34"/>
        <v/>
      </c>
      <c r="H264" s="12" t="str">
        <f>IF(G264="","",IF('Loan Terms'!$C$13="Fixed",(E264="Yes")*J264+(E264="No")*'Loan Terms'!$H$19,PMT(F264/12,'Loan Terms'!$G$11-B264+1,-G264)))</f>
        <v/>
      </c>
      <c r="I264" s="12" t="str">
        <f>IF(B264="","",IF(B264='Loan Terms'!$H$9*12,G264,H264-J264))</f>
        <v/>
      </c>
      <c r="J264" s="130" t="str">
        <f>IF(B264="","",IF('Loan Terms'!$H$15="Actual/365",F264*(C264/365),F264*(C264/360))*G264)</f>
        <v/>
      </c>
      <c r="K264" s="12" t="str">
        <f t="shared" si="31"/>
        <v/>
      </c>
      <c r="L264" s="130" t="str">
        <f t="shared" si="35"/>
        <v/>
      </c>
      <c r="N264" s="14" t="str">
        <f t="shared" si="36"/>
        <v/>
      </c>
      <c r="S264" s="217" t="str">
        <f t="shared" si="32"/>
        <v/>
      </c>
      <c r="T264" s="218" t="str">
        <f t="shared" si="30"/>
        <v/>
      </c>
      <c r="U264" s="219" t="str">
        <f>IF(S264="","",'Loan Terms'!$H$14)</f>
        <v/>
      </c>
      <c r="V264" s="220" t="str">
        <f t="shared" si="37"/>
        <v/>
      </c>
    </row>
    <row r="265" spans="2:22" ht="14.25" customHeight="1" x14ac:dyDescent="0.2">
      <c r="B265" s="126" t="str">
        <f>IF(OR(B264="",B264='Loan Terms'!$H$9*12),"",B264+1)</f>
        <v/>
      </c>
      <c r="C265" s="128" t="str">
        <f>IF(B265="","",IF('Loan Terms'!$H$15="30/360",30,D265-D264))</f>
        <v/>
      </c>
      <c r="D265" s="129" t="str">
        <f t="shared" si="33"/>
        <v/>
      </c>
      <c r="E265" s="129" t="str">
        <f>IF(B265="","",IF(B265&lt;='Loan Terms'!$G$10,"Yes","No"))</f>
        <v/>
      </c>
      <c r="F265" s="101" t="str">
        <f>IF(B265="","",IF('Loan Terms'!$C$13="Fixed",'Loan Terms'!$H$17,V265))</f>
        <v/>
      </c>
      <c r="G265" s="12" t="str">
        <f t="shared" si="34"/>
        <v/>
      </c>
      <c r="H265" s="12" t="str">
        <f>IF(G265="","",IF('Loan Terms'!$C$13="Fixed",(E265="Yes")*J265+(E265="No")*'Loan Terms'!$H$19,PMT(F265/12,'Loan Terms'!$G$11-B265+1,-G265)))</f>
        <v/>
      </c>
      <c r="I265" s="12" t="str">
        <f>IF(B265="","",IF(B265='Loan Terms'!$H$9*12,G265,H265-J265))</f>
        <v/>
      </c>
      <c r="J265" s="130" t="str">
        <f>IF(B265="","",IF('Loan Terms'!$H$15="Actual/365",F265*(C265/365),F265*(C265/360))*G265)</f>
        <v/>
      </c>
      <c r="K265" s="12" t="str">
        <f t="shared" si="31"/>
        <v/>
      </c>
      <c r="L265" s="130" t="str">
        <f t="shared" si="35"/>
        <v/>
      </c>
      <c r="N265" s="14" t="str">
        <f t="shared" si="36"/>
        <v/>
      </c>
      <c r="S265" s="217" t="str">
        <f t="shared" si="32"/>
        <v/>
      </c>
      <c r="T265" s="218" t="str">
        <f t="shared" si="30"/>
        <v/>
      </c>
      <c r="U265" s="219" t="str">
        <f>IF(S265="","",'Loan Terms'!$H$14)</f>
        <v/>
      </c>
      <c r="V265" s="220" t="str">
        <f t="shared" si="37"/>
        <v/>
      </c>
    </row>
    <row r="266" spans="2:22" ht="14.25" customHeight="1" x14ac:dyDescent="0.2">
      <c r="B266" s="126" t="str">
        <f>IF(OR(B265="",B265='Loan Terms'!$H$9*12),"",B265+1)</f>
        <v/>
      </c>
      <c r="C266" s="128" t="str">
        <f>IF(B266="","",IF('Loan Terms'!$H$15="30/360",30,D266-D265))</f>
        <v/>
      </c>
      <c r="D266" s="129" t="str">
        <f t="shared" si="33"/>
        <v/>
      </c>
      <c r="E266" s="129" t="str">
        <f>IF(B266="","",IF(B266&lt;='Loan Terms'!$G$10,"Yes","No"))</f>
        <v/>
      </c>
      <c r="F266" s="101" t="str">
        <f>IF(B266="","",IF('Loan Terms'!$C$13="Fixed",'Loan Terms'!$H$17,V266))</f>
        <v/>
      </c>
      <c r="G266" s="12" t="str">
        <f t="shared" si="34"/>
        <v/>
      </c>
      <c r="H266" s="12" t="str">
        <f>IF(G266="","",IF('Loan Terms'!$C$13="Fixed",(E266="Yes")*J266+(E266="No")*'Loan Terms'!$H$19,PMT(F266/12,'Loan Terms'!$G$11-B266+1,-G266)))</f>
        <v/>
      </c>
      <c r="I266" s="12" t="str">
        <f>IF(B266="","",IF(B266='Loan Terms'!$H$9*12,G266,H266-J266))</f>
        <v/>
      </c>
      <c r="J266" s="130" t="str">
        <f>IF(B266="","",IF('Loan Terms'!$H$15="Actual/365",F266*(C266/365),F266*(C266/360))*G266)</f>
        <v/>
      </c>
      <c r="K266" s="12" t="str">
        <f t="shared" si="31"/>
        <v/>
      </c>
      <c r="L266" s="130" t="str">
        <f t="shared" si="35"/>
        <v/>
      </c>
      <c r="N266" s="14" t="str">
        <f t="shared" si="36"/>
        <v/>
      </c>
      <c r="S266" s="217" t="str">
        <f t="shared" si="32"/>
        <v/>
      </c>
      <c r="T266" s="218" t="str">
        <f t="shared" si="30"/>
        <v/>
      </c>
      <c r="U266" s="219" t="str">
        <f>IF(S266="","",'Loan Terms'!$H$14)</f>
        <v/>
      </c>
      <c r="V266" s="220" t="str">
        <f t="shared" si="37"/>
        <v/>
      </c>
    </row>
    <row r="267" spans="2:22" ht="14.25" customHeight="1" x14ac:dyDescent="0.2">
      <c r="B267" s="126" t="str">
        <f>IF(OR(B266="",B266='Loan Terms'!$H$9*12),"",B266+1)</f>
        <v/>
      </c>
      <c r="C267" s="128" t="str">
        <f>IF(B267="","",IF('Loan Terms'!$H$15="30/360",30,D267-D266))</f>
        <v/>
      </c>
      <c r="D267" s="129" t="str">
        <f t="shared" si="33"/>
        <v/>
      </c>
      <c r="E267" s="129" t="str">
        <f>IF(B267="","",IF(B267&lt;='Loan Terms'!$G$10,"Yes","No"))</f>
        <v/>
      </c>
      <c r="F267" s="101" t="str">
        <f>IF(B267="","",IF('Loan Terms'!$C$13="Fixed",'Loan Terms'!$H$17,V267))</f>
        <v/>
      </c>
      <c r="G267" s="12" t="str">
        <f t="shared" si="34"/>
        <v/>
      </c>
      <c r="H267" s="12" t="str">
        <f>IF(G267="","",IF('Loan Terms'!$C$13="Fixed",(E267="Yes")*J267+(E267="No")*'Loan Terms'!$H$19,PMT(F267/12,'Loan Terms'!$G$11-B267+1,-G267)))</f>
        <v/>
      </c>
      <c r="I267" s="12" t="str">
        <f>IF(B267="","",IF(B267='Loan Terms'!$H$9*12,G267,H267-J267))</f>
        <v/>
      </c>
      <c r="J267" s="130" t="str">
        <f>IF(B267="","",IF('Loan Terms'!$H$15="Actual/365",F267*(C267/365),F267*(C267/360))*G267)</f>
        <v/>
      </c>
      <c r="K267" s="12" t="str">
        <f t="shared" si="31"/>
        <v/>
      </c>
      <c r="L267" s="130" t="str">
        <f t="shared" si="35"/>
        <v/>
      </c>
      <c r="N267" s="14" t="str">
        <f t="shared" si="36"/>
        <v/>
      </c>
      <c r="S267" s="217" t="str">
        <f t="shared" si="32"/>
        <v/>
      </c>
      <c r="T267" s="218" t="str">
        <f t="shared" si="30"/>
        <v/>
      </c>
      <c r="U267" s="219" t="str">
        <f>IF(S267="","",'Loan Terms'!$H$14)</f>
        <v/>
      </c>
      <c r="V267" s="220" t="str">
        <f t="shared" si="37"/>
        <v/>
      </c>
    </row>
    <row r="268" spans="2:22" ht="14.25" customHeight="1" x14ac:dyDescent="0.2">
      <c r="B268" s="126" t="str">
        <f>IF(OR(B267="",B267='Loan Terms'!$H$9*12),"",B267+1)</f>
        <v/>
      </c>
      <c r="C268" s="128" t="str">
        <f>IF(B268="","",IF('Loan Terms'!$H$15="30/360",30,D268-D267))</f>
        <v/>
      </c>
      <c r="D268" s="129" t="str">
        <f t="shared" si="33"/>
        <v/>
      </c>
      <c r="E268" s="129" t="str">
        <f>IF(B268="","",IF(B268&lt;='Loan Terms'!$G$10,"Yes","No"))</f>
        <v/>
      </c>
      <c r="F268" s="101" t="str">
        <f>IF(B268="","",IF('Loan Terms'!$C$13="Fixed",'Loan Terms'!$H$17,V268))</f>
        <v/>
      </c>
      <c r="G268" s="12" t="str">
        <f t="shared" si="34"/>
        <v/>
      </c>
      <c r="H268" s="12" t="str">
        <f>IF(G268="","",IF('Loan Terms'!$C$13="Fixed",(E268="Yes")*J268+(E268="No")*'Loan Terms'!$H$19,PMT(F268/12,'Loan Terms'!$G$11-B268+1,-G268)))</f>
        <v/>
      </c>
      <c r="I268" s="12" t="str">
        <f>IF(B268="","",IF(B268='Loan Terms'!$H$9*12,G268,H268-J268))</f>
        <v/>
      </c>
      <c r="J268" s="130" t="str">
        <f>IF(B268="","",IF('Loan Terms'!$H$15="Actual/365",F268*(C268/365),F268*(C268/360))*G268)</f>
        <v/>
      </c>
      <c r="K268" s="12" t="str">
        <f t="shared" si="31"/>
        <v/>
      </c>
      <c r="L268" s="130" t="str">
        <f t="shared" si="35"/>
        <v/>
      </c>
      <c r="N268" s="14" t="str">
        <f t="shared" si="36"/>
        <v/>
      </c>
      <c r="S268" s="217" t="str">
        <f t="shared" si="32"/>
        <v/>
      </c>
      <c r="T268" s="218" t="str">
        <f t="shared" si="30"/>
        <v/>
      </c>
      <c r="U268" s="219" t="str">
        <f>IF(S268="","",'Loan Terms'!$H$14)</f>
        <v/>
      </c>
      <c r="V268" s="220" t="str">
        <f t="shared" si="37"/>
        <v/>
      </c>
    </row>
    <row r="269" spans="2:22" ht="14.25" customHeight="1" x14ac:dyDescent="0.2">
      <c r="B269" s="126" t="str">
        <f>IF(OR(B268="",B268='Loan Terms'!$H$9*12),"",B268+1)</f>
        <v/>
      </c>
      <c r="C269" s="128" t="str">
        <f>IF(B269="","",IF('Loan Terms'!$H$15="30/360",30,D269-D268))</f>
        <v/>
      </c>
      <c r="D269" s="129" t="str">
        <f t="shared" si="33"/>
        <v/>
      </c>
      <c r="E269" s="129" t="str">
        <f>IF(B269="","",IF(B269&lt;='Loan Terms'!$G$10,"Yes","No"))</f>
        <v/>
      </c>
      <c r="F269" s="101" t="str">
        <f>IF(B269="","",IF('Loan Terms'!$C$13="Fixed",'Loan Terms'!$H$17,V269))</f>
        <v/>
      </c>
      <c r="G269" s="12" t="str">
        <f t="shared" si="34"/>
        <v/>
      </c>
      <c r="H269" s="12" t="str">
        <f>IF(G269="","",IF('Loan Terms'!$C$13="Fixed",(E269="Yes")*J269+(E269="No")*'Loan Terms'!$H$19,PMT(F269/12,'Loan Terms'!$G$11-B269+1,-G269)))</f>
        <v/>
      </c>
      <c r="I269" s="12" t="str">
        <f>IF(B269="","",IF(B269='Loan Terms'!$H$9*12,G269,H269-J269))</f>
        <v/>
      </c>
      <c r="J269" s="130" t="str">
        <f>IF(B269="","",IF('Loan Terms'!$H$15="Actual/365",F269*(C269/365),F269*(C269/360))*G269)</f>
        <v/>
      </c>
      <c r="K269" s="12" t="str">
        <f t="shared" si="31"/>
        <v/>
      </c>
      <c r="L269" s="130" t="str">
        <f t="shared" si="35"/>
        <v/>
      </c>
      <c r="N269" s="14" t="str">
        <f t="shared" si="36"/>
        <v/>
      </c>
      <c r="S269" s="217" t="str">
        <f t="shared" si="32"/>
        <v/>
      </c>
      <c r="T269" s="218" t="str">
        <f t="shared" si="30"/>
        <v/>
      </c>
      <c r="U269" s="219" t="str">
        <f>IF(S269="","",'Loan Terms'!$H$14)</f>
        <v/>
      </c>
      <c r="V269" s="220" t="str">
        <f t="shared" si="37"/>
        <v/>
      </c>
    </row>
    <row r="270" spans="2:22" ht="14.25" customHeight="1" x14ac:dyDescent="0.2">
      <c r="B270" s="126" t="str">
        <f>IF(OR(B269="",B269='Loan Terms'!$H$9*12),"",B269+1)</f>
        <v/>
      </c>
      <c r="C270" s="128" t="str">
        <f>IF(B270="","",IF('Loan Terms'!$H$15="30/360",30,D270-D269))</f>
        <v/>
      </c>
      <c r="D270" s="129" t="str">
        <f t="shared" si="33"/>
        <v/>
      </c>
      <c r="E270" s="129" t="str">
        <f>IF(B270="","",IF(B270&lt;='Loan Terms'!$G$10,"Yes","No"))</f>
        <v/>
      </c>
      <c r="F270" s="101" t="str">
        <f>IF(B270="","",IF('Loan Terms'!$C$13="Fixed",'Loan Terms'!$H$17,V270))</f>
        <v/>
      </c>
      <c r="G270" s="12" t="str">
        <f t="shared" si="34"/>
        <v/>
      </c>
      <c r="H270" s="12" t="str">
        <f>IF(G270="","",IF('Loan Terms'!$C$13="Fixed",(E270="Yes")*J270+(E270="No")*'Loan Terms'!$H$19,PMT(F270/12,'Loan Terms'!$G$11-B270+1,-G270)))</f>
        <v/>
      </c>
      <c r="I270" s="12" t="str">
        <f>IF(B270="","",IF(B270='Loan Terms'!$H$9*12,G270,H270-J270))</f>
        <v/>
      </c>
      <c r="J270" s="130" t="str">
        <f>IF(B270="","",IF('Loan Terms'!$H$15="Actual/365",F270*(C270/365),F270*(C270/360))*G270)</f>
        <v/>
      </c>
      <c r="K270" s="12" t="str">
        <f t="shared" si="31"/>
        <v/>
      </c>
      <c r="L270" s="130" t="str">
        <f t="shared" si="35"/>
        <v/>
      </c>
      <c r="N270" s="14" t="str">
        <f t="shared" si="36"/>
        <v/>
      </c>
      <c r="S270" s="217" t="str">
        <f t="shared" si="32"/>
        <v/>
      </c>
      <c r="T270" s="218" t="str">
        <f t="shared" si="30"/>
        <v/>
      </c>
      <c r="U270" s="219" t="str">
        <f>IF(S270="","",'Loan Terms'!$H$14)</f>
        <v/>
      </c>
      <c r="V270" s="220" t="str">
        <f t="shared" si="37"/>
        <v/>
      </c>
    </row>
    <row r="271" spans="2:22" ht="14.25" customHeight="1" x14ac:dyDescent="0.2">
      <c r="B271" s="126" t="str">
        <f>IF(OR(B270="",B270='Loan Terms'!$H$9*12),"",B270+1)</f>
        <v/>
      </c>
      <c r="C271" s="128" t="str">
        <f>IF(B271="","",IF('Loan Terms'!$H$15="30/360",30,D271-D270))</f>
        <v/>
      </c>
      <c r="D271" s="129" t="str">
        <f t="shared" si="33"/>
        <v/>
      </c>
      <c r="E271" s="129" t="str">
        <f>IF(B271="","",IF(B271&lt;='Loan Terms'!$G$10,"Yes","No"))</f>
        <v/>
      </c>
      <c r="F271" s="101" t="str">
        <f>IF(B271="","",IF('Loan Terms'!$C$13="Fixed",'Loan Terms'!$H$17,V271))</f>
        <v/>
      </c>
      <c r="G271" s="12" t="str">
        <f t="shared" si="34"/>
        <v/>
      </c>
      <c r="H271" s="12" t="str">
        <f>IF(G271="","",IF('Loan Terms'!$C$13="Fixed",(E271="Yes")*J271+(E271="No")*'Loan Terms'!$H$19,PMT(F271/12,'Loan Terms'!$G$11-B271+1,-G271)))</f>
        <v/>
      </c>
      <c r="I271" s="12" t="str">
        <f>IF(B271="","",IF(B271='Loan Terms'!$H$9*12,G271,H271-J271))</f>
        <v/>
      </c>
      <c r="J271" s="130" t="str">
        <f>IF(B271="","",IF('Loan Terms'!$H$15="Actual/365",F271*(C271/365),F271*(C271/360))*G271)</f>
        <v/>
      </c>
      <c r="K271" s="12" t="str">
        <f t="shared" si="31"/>
        <v/>
      </c>
      <c r="L271" s="130" t="str">
        <f t="shared" si="35"/>
        <v/>
      </c>
      <c r="N271" s="14" t="str">
        <f t="shared" si="36"/>
        <v/>
      </c>
      <c r="S271" s="217" t="str">
        <f t="shared" si="32"/>
        <v/>
      </c>
      <c r="T271" s="218" t="str">
        <f t="shared" si="30"/>
        <v/>
      </c>
      <c r="U271" s="219" t="str">
        <f>IF(S271="","",'Loan Terms'!$H$14)</f>
        <v/>
      </c>
      <c r="V271" s="220" t="str">
        <f t="shared" si="37"/>
        <v/>
      </c>
    </row>
    <row r="272" spans="2:22" ht="14.25" customHeight="1" x14ac:dyDescent="0.2">
      <c r="B272" s="126" t="str">
        <f>IF(OR(B271="",B271='Loan Terms'!$H$9*12),"",B271+1)</f>
        <v/>
      </c>
      <c r="C272" s="128" t="str">
        <f>IF(B272="","",IF('Loan Terms'!$H$15="30/360",30,D272-D271))</f>
        <v/>
      </c>
      <c r="D272" s="129" t="str">
        <f t="shared" si="33"/>
        <v/>
      </c>
      <c r="E272" s="129" t="str">
        <f>IF(B272="","",IF(B272&lt;='Loan Terms'!$G$10,"Yes","No"))</f>
        <v/>
      </c>
      <c r="F272" s="101" t="str">
        <f>IF(B272="","",IF('Loan Terms'!$C$13="Fixed",'Loan Terms'!$H$17,V272))</f>
        <v/>
      </c>
      <c r="G272" s="12" t="str">
        <f t="shared" si="34"/>
        <v/>
      </c>
      <c r="H272" s="12" t="str">
        <f>IF(G272="","",IF('Loan Terms'!$C$13="Fixed",(E272="Yes")*J272+(E272="No")*'Loan Terms'!$H$19,PMT(F272/12,'Loan Terms'!$G$11-B272+1,-G272)))</f>
        <v/>
      </c>
      <c r="I272" s="12" t="str">
        <f>IF(B272="","",IF(B272='Loan Terms'!$H$9*12,G272,H272-J272))</f>
        <v/>
      </c>
      <c r="J272" s="130" t="str">
        <f>IF(B272="","",IF('Loan Terms'!$H$15="Actual/365",F272*(C272/365),F272*(C272/360))*G272)</f>
        <v/>
      </c>
      <c r="K272" s="12" t="str">
        <f t="shared" si="31"/>
        <v/>
      </c>
      <c r="L272" s="130" t="str">
        <f t="shared" si="35"/>
        <v/>
      </c>
      <c r="N272" s="14" t="str">
        <f t="shared" si="36"/>
        <v/>
      </c>
      <c r="S272" s="217" t="str">
        <f t="shared" si="32"/>
        <v/>
      </c>
      <c r="T272" s="218" t="str">
        <f t="shared" si="30"/>
        <v/>
      </c>
      <c r="U272" s="219" t="str">
        <f>IF(S272="","",'Loan Terms'!$H$14)</f>
        <v/>
      </c>
      <c r="V272" s="220" t="str">
        <f t="shared" si="37"/>
        <v/>
      </c>
    </row>
    <row r="273" spans="2:22" ht="14.25" customHeight="1" x14ac:dyDescent="0.2">
      <c r="B273" s="126" t="str">
        <f>IF(OR(B272="",B272='Loan Terms'!$H$9*12),"",B272+1)</f>
        <v/>
      </c>
      <c r="C273" s="128" t="str">
        <f>IF(B273="","",IF('Loan Terms'!$H$15="30/360",30,D273-D272))</f>
        <v/>
      </c>
      <c r="D273" s="129" t="str">
        <f t="shared" si="33"/>
        <v/>
      </c>
      <c r="E273" s="129" t="str">
        <f>IF(B273="","",IF(B273&lt;='Loan Terms'!$G$10,"Yes","No"))</f>
        <v/>
      </c>
      <c r="F273" s="101" t="str">
        <f>IF(B273="","",IF('Loan Terms'!$C$13="Fixed",'Loan Terms'!$H$17,V273))</f>
        <v/>
      </c>
      <c r="G273" s="12" t="str">
        <f t="shared" si="34"/>
        <v/>
      </c>
      <c r="H273" s="12" t="str">
        <f>IF(G273="","",IF('Loan Terms'!$C$13="Fixed",(E273="Yes")*J273+(E273="No")*'Loan Terms'!$H$19,PMT(F273/12,'Loan Terms'!$G$11-B273+1,-G273)))</f>
        <v/>
      </c>
      <c r="I273" s="12" t="str">
        <f>IF(B273="","",IF(B273='Loan Terms'!$H$9*12,G273,H273-J273))</f>
        <v/>
      </c>
      <c r="J273" s="130" t="str">
        <f>IF(B273="","",IF('Loan Terms'!$H$15="Actual/365",F273*(C273/365),F273*(C273/360))*G273)</f>
        <v/>
      </c>
      <c r="K273" s="12" t="str">
        <f t="shared" si="31"/>
        <v/>
      </c>
      <c r="L273" s="130" t="str">
        <f t="shared" si="35"/>
        <v/>
      </c>
      <c r="N273" s="14" t="str">
        <f t="shared" si="36"/>
        <v/>
      </c>
      <c r="S273" s="217" t="str">
        <f t="shared" si="32"/>
        <v/>
      </c>
      <c r="T273" s="218" t="str">
        <f t="shared" si="30"/>
        <v/>
      </c>
      <c r="U273" s="219" t="str">
        <f>IF(S273="","",'Loan Terms'!$H$14)</f>
        <v/>
      </c>
      <c r="V273" s="220" t="str">
        <f t="shared" si="37"/>
        <v/>
      </c>
    </row>
    <row r="274" spans="2:22" ht="14.25" customHeight="1" x14ac:dyDescent="0.2">
      <c r="B274" s="126" t="str">
        <f>IF(OR(B273="",B273='Loan Terms'!$H$9*12),"",B273+1)</f>
        <v/>
      </c>
      <c r="C274" s="128" t="str">
        <f>IF(B274="","",IF('Loan Terms'!$H$15="30/360",30,D274-D273))</f>
        <v/>
      </c>
      <c r="D274" s="129" t="str">
        <f t="shared" si="33"/>
        <v/>
      </c>
      <c r="E274" s="129" t="str">
        <f>IF(B274="","",IF(B274&lt;='Loan Terms'!$G$10,"Yes","No"))</f>
        <v/>
      </c>
      <c r="F274" s="101" t="str">
        <f>IF(B274="","",IF('Loan Terms'!$C$13="Fixed",'Loan Terms'!$H$17,V274))</f>
        <v/>
      </c>
      <c r="G274" s="12" t="str">
        <f t="shared" si="34"/>
        <v/>
      </c>
      <c r="H274" s="12" t="str">
        <f>IF(G274="","",IF('Loan Terms'!$C$13="Fixed",(E274="Yes")*J274+(E274="No")*'Loan Terms'!$H$19,PMT(F274/12,'Loan Terms'!$G$11-B274+1,-G274)))</f>
        <v/>
      </c>
      <c r="I274" s="12" t="str">
        <f>IF(B274="","",IF(B274='Loan Terms'!$H$9*12,G274,H274-J274))</f>
        <v/>
      </c>
      <c r="J274" s="130" t="str">
        <f>IF(B274="","",IF('Loan Terms'!$H$15="Actual/365",F274*(C274/365),F274*(C274/360))*G274)</f>
        <v/>
      </c>
      <c r="K274" s="12" t="str">
        <f t="shared" si="31"/>
        <v/>
      </c>
      <c r="L274" s="130" t="str">
        <f t="shared" si="35"/>
        <v/>
      </c>
      <c r="N274" s="14" t="str">
        <f t="shared" si="36"/>
        <v/>
      </c>
      <c r="S274" s="217" t="str">
        <f t="shared" si="32"/>
        <v/>
      </c>
      <c r="T274" s="218" t="str">
        <f t="shared" si="30"/>
        <v/>
      </c>
      <c r="U274" s="219" t="str">
        <f>IF(S274="","",'Loan Terms'!$H$14)</f>
        <v/>
      </c>
      <c r="V274" s="220" t="str">
        <f t="shared" si="37"/>
        <v/>
      </c>
    </row>
    <row r="275" spans="2:22" ht="14.25" customHeight="1" x14ac:dyDescent="0.2">
      <c r="B275" s="126" t="str">
        <f>IF(OR(B274="",B274='Loan Terms'!$H$9*12),"",B274+1)</f>
        <v/>
      </c>
      <c r="C275" s="128" t="str">
        <f>IF(B275="","",IF('Loan Terms'!$H$15="30/360",30,D275-D274))</f>
        <v/>
      </c>
      <c r="D275" s="129" t="str">
        <f t="shared" si="33"/>
        <v/>
      </c>
      <c r="E275" s="129" t="str">
        <f>IF(B275="","",IF(B275&lt;='Loan Terms'!$G$10,"Yes","No"))</f>
        <v/>
      </c>
      <c r="F275" s="101" t="str">
        <f>IF(B275="","",IF('Loan Terms'!$C$13="Fixed",'Loan Terms'!$H$17,V275))</f>
        <v/>
      </c>
      <c r="G275" s="12" t="str">
        <f t="shared" si="34"/>
        <v/>
      </c>
      <c r="H275" s="12" t="str">
        <f>IF(G275="","",IF('Loan Terms'!$C$13="Fixed",(E275="Yes")*J275+(E275="No")*'Loan Terms'!$H$19,PMT(F275/12,'Loan Terms'!$G$11-B275+1,-G275)))</f>
        <v/>
      </c>
      <c r="I275" s="12" t="str">
        <f>IF(B275="","",IF(B275='Loan Terms'!$H$9*12,G275,H275-J275))</f>
        <v/>
      </c>
      <c r="J275" s="130" t="str">
        <f>IF(B275="","",IF('Loan Terms'!$H$15="Actual/365",F275*(C275/365),F275*(C275/360))*G275)</f>
        <v/>
      </c>
      <c r="K275" s="12" t="str">
        <f t="shared" si="31"/>
        <v/>
      </c>
      <c r="L275" s="130" t="str">
        <f t="shared" si="35"/>
        <v/>
      </c>
      <c r="N275" s="14" t="str">
        <f t="shared" si="36"/>
        <v/>
      </c>
      <c r="S275" s="217" t="str">
        <f t="shared" si="32"/>
        <v/>
      </c>
      <c r="T275" s="218" t="str">
        <f t="shared" si="30"/>
        <v/>
      </c>
      <c r="U275" s="219" t="str">
        <f>IF(S275="","",'Loan Terms'!$H$14)</f>
        <v/>
      </c>
      <c r="V275" s="220" t="str">
        <f t="shared" si="37"/>
        <v/>
      </c>
    </row>
    <row r="276" spans="2:22" ht="14.25" customHeight="1" x14ac:dyDescent="0.2">
      <c r="B276" s="126" t="str">
        <f>IF(OR(B275="",B275='Loan Terms'!$H$9*12),"",B275+1)</f>
        <v/>
      </c>
      <c r="C276" s="128" t="str">
        <f>IF(B276="","",IF('Loan Terms'!$H$15="30/360",30,D276-D275))</f>
        <v/>
      </c>
      <c r="D276" s="129" t="str">
        <f t="shared" si="33"/>
        <v/>
      </c>
      <c r="E276" s="129" t="str">
        <f>IF(B276="","",IF(B276&lt;='Loan Terms'!$G$10,"Yes","No"))</f>
        <v/>
      </c>
      <c r="F276" s="101" t="str">
        <f>IF(B276="","",IF('Loan Terms'!$C$13="Fixed",'Loan Terms'!$H$17,V276))</f>
        <v/>
      </c>
      <c r="G276" s="12" t="str">
        <f t="shared" si="34"/>
        <v/>
      </c>
      <c r="H276" s="12" t="str">
        <f>IF(G276="","",IF('Loan Terms'!$C$13="Fixed",(E276="Yes")*J276+(E276="No")*'Loan Terms'!$H$19,PMT(F276/12,'Loan Terms'!$G$11-B276+1,-G276)))</f>
        <v/>
      </c>
      <c r="I276" s="12" t="str">
        <f>IF(B276="","",IF(B276='Loan Terms'!$H$9*12,G276,H276-J276))</f>
        <v/>
      </c>
      <c r="J276" s="130" t="str">
        <f>IF(B276="","",IF('Loan Terms'!$H$15="Actual/365",F276*(C276/365),F276*(C276/360))*G276)</f>
        <v/>
      </c>
      <c r="K276" s="12" t="str">
        <f t="shared" si="31"/>
        <v/>
      </c>
      <c r="L276" s="130" t="str">
        <f t="shared" si="35"/>
        <v/>
      </c>
      <c r="N276" s="14" t="str">
        <f t="shared" si="36"/>
        <v/>
      </c>
      <c r="S276" s="217" t="str">
        <f t="shared" si="32"/>
        <v/>
      </c>
      <c r="T276" s="218" t="str">
        <f t="shared" si="30"/>
        <v/>
      </c>
      <c r="U276" s="219" t="str">
        <f>IF(S276="","",'Loan Terms'!$H$14)</f>
        <v/>
      </c>
      <c r="V276" s="220" t="str">
        <f t="shared" si="37"/>
        <v/>
      </c>
    </row>
    <row r="277" spans="2:22" ht="14.25" customHeight="1" x14ac:dyDescent="0.2">
      <c r="B277" s="126" t="str">
        <f>IF(OR(B276="",B276='Loan Terms'!$H$9*12),"",B276+1)</f>
        <v/>
      </c>
      <c r="C277" s="128" t="str">
        <f>IF(B277="","",IF('Loan Terms'!$H$15="30/360",30,D277-D276))</f>
        <v/>
      </c>
      <c r="D277" s="129" t="str">
        <f t="shared" si="33"/>
        <v/>
      </c>
      <c r="E277" s="129" t="str">
        <f>IF(B277="","",IF(B277&lt;='Loan Terms'!$G$10,"Yes","No"))</f>
        <v/>
      </c>
      <c r="F277" s="101" t="str">
        <f>IF(B277="","",IF('Loan Terms'!$C$13="Fixed",'Loan Terms'!$H$17,V277))</f>
        <v/>
      </c>
      <c r="G277" s="12" t="str">
        <f t="shared" si="34"/>
        <v/>
      </c>
      <c r="H277" s="12" t="str">
        <f>IF(G277="","",IF('Loan Terms'!$C$13="Fixed",(E277="Yes")*J277+(E277="No")*'Loan Terms'!$H$19,PMT(F277/12,'Loan Terms'!$G$11-B277+1,-G277)))</f>
        <v/>
      </c>
      <c r="I277" s="12" t="str">
        <f>IF(B277="","",IF(B277='Loan Terms'!$H$9*12,G277,H277-J277))</f>
        <v/>
      </c>
      <c r="J277" s="130" t="str">
        <f>IF(B277="","",IF('Loan Terms'!$H$15="Actual/365",F277*(C277/365),F277*(C277/360))*G277)</f>
        <v/>
      </c>
      <c r="K277" s="12" t="str">
        <f t="shared" si="31"/>
        <v/>
      </c>
      <c r="L277" s="130" t="str">
        <f t="shared" si="35"/>
        <v/>
      </c>
      <c r="N277" s="14" t="str">
        <f t="shared" si="36"/>
        <v/>
      </c>
      <c r="S277" s="217" t="str">
        <f t="shared" si="32"/>
        <v/>
      </c>
      <c r="T277" s="218" t="str">
        <f t="shared" si="30"/>
        <v/>
      </c>
      <c r="U277" s="219" t="str">
        <f>IF(S277="","",'Loan Terms'!$H$14)</f>
        <v/>
      </c>
      <c r="V277" s="220" t="str">
        <f t="shared" si="37"/>
        <v/>
      </c>
    </row>
    <row r="278" spans="2:22" ht="14.25" customHeight="1" x14ac:dyDescent="0.2">
      <c r="B278" s="126" t="str">
        <f>IF(OR(B277="",B277='Loan Terms'!$H$9*12),"",B277+1)</f>
        <v/>
      </c>
      <c r="C278" s="128" t="str">
        <f>IF(B278="","",IF('Loan Terms'!$H$15="30/360",30,D278-D277))</f>
        <v/>
      </c>
      <c r="D278" s="129" t="str">
        <f t="shared" si="33"/>
        <v/>
      </c>
      <c r="E278" s="129" t="str">
        <f>IF(B278="","",IF(B278&lt;='Loan Terms'!$G$10,"Yes","No"))</f>
        <v/>
      </c>
      <c r="F278" s="101" t="str">
        <f>IF(B278="","",IF('Loan Terms'!$C$13="Fixed",'Loan Terms'!$H$17,V278))</f>
        <v/>
      </c>
      <c r="G278" s="12" t="str">
        <f t="shared" si="34"/>
        <v/>
      </c>
      <c r="H278" s="12" t="str">
        <f>IF(G278="","",IF('Loan Terms'!$C$13="Fixed",(E278="Yes")*J278+(E278="No")*'Loan Terms'!$H$19,PMT(F278/12,'Loan Terms'!$G$11-B278+1,-G278)))</f>
        <v/>
      </c>
      <c r="I278" s="12" t="str">
        <f>IF(B278="","",IF(B278='Loan Terms'!$H$9*12,G278,H278-J278))</f>
        <v/>
      </c>
      <c r="J278" s="130" t="str">
        <f>IF(B278="","",IF('Loan Terms'!$H$15="Actual/365",F278*(C278/365),F278*(C278/360))*G278)</f>
        <v/>
      </c>
      <c r="K278" s="12" t="str">
        <f t="shared" si="31"/>
        <v/>
      </c>
      <c r="L278" s="130" t="str">
        <f t="shared" si="35"/>
        <v/>
      </c>
      <c r="N278" s="14" t="str">
        <f t="shared" si="36"/>
        <v/>
      </c>
      <c r="S278" s="217" t="str">
        <f t="shared" si="32"/>
        <v/>
      </c>
      <c r="T278" s="218" t="str">
        <f t="shared" si="30"/>
        <v/>
      </c>
      <c r="U278" s="219" t="str">
        <f>IF(S278="","",'Loan Terms'!$H$14)</f>
        <v/>
      </c>
      <c r="V278" s="220" t="str">
        <f t="shared" si="37"/>
        <v/>
      </c>
    </row>
    <row r="279" spans="2:22" ht="14.25" customHeight="1" x14ac:dyDescent="0.2">
      <c r="B279" s="126" t="str">
        <f>IF(OR(B278="",B278='Loan Terms'!$H$9*12),"",B278+1)</f>
        <v/>
      </c>
      <c r="C279" s="128" t="str">
        <f>IF(B279="","",IF('Loan Terms'!$H$15="30/360",30,D279-D278))</f>
        <v/>
      </c>
      <c r="D279" s="129" t="str">
        <f t="shared" si="33"/>
        <v/>
      </c>
      <c r="E279" s="129" t="str">
        <f>IF(B279="","",IF(B279&lt;='Loan Terms'!$G$10,"Yes","No"))</f>
        <v/>
      </c>
      <c r="F279" s="101" t="str">
        <f>IF(B279="","",IF('Loan Terms'!$C$13="Fixed",'Loan Terms'!$H$17,V279))</f>
        <v/>
      </c>
      <c r="G279" s="12" t="str">
        <f t="shared" si="34"/>
        <v/>
      </c>
      <c r="H279" s="12" t="str">
        <f>IF(G279="","",IF('Loan Terms'!$C$13="Fixed",(E279="Yes")*J279+(E279="No")*'Loan Terms'!$H$19,PMT(F279/12,'Loan Terms'!$G$11-B279+1,-G279)))</f>
        <v/>
      </c>
      <c r="I279" s="12" t="str">
        <f>IF(B279="","",IF(B279='Loan Terms'!$H$9*12,G279,H279-J279))</f>
        <v/>
      </c>
      <c r="J279" s="130" t="str">
        <f>IF(B279="","",IF('Loan Terms'!$H$15="Actual/365",F279*(C279/365),F279*(C279/360))*G279)</f>
        <v/>
      </c>
      <c r="K279" s="12" t="str">
        <f t="shared" si="31"/>
        <v/>
      </c>
      <c r="L279" s="130" t="str">
        <f t="shared" si="35"/>
        <v/>
      </c>
      <c r="N279" s="14" t="str">
        <f t="shared" si="36"/>
        <v/>
      </c>
      <c r="S279" s="217" t="str">
        <f t="shared" si="32"/>
        <v/>
      </c>
      <c r="T279" s="218" t="str">
        <f t="shared" si="30"/>
        <v/>
      </c>
      <c r="U279" s="219" t="str">
        <f>IF(S279="","",'Loan Terms'!$H$14)</f>
        <v/>
      </c>
      <c r="V279" s="220" t="str">
        <f t="shared" si="37"/>
        <v/>
      </c>
    </row>
    <row r="280" spans="2:22" ht="14.25" customHeight="1" x14ac:dyDescent="0.2">
      <c r="B280" s="126" t="str">
        <f>IF(OR(B279="",B279='Loan Terms'!$H$9*12),"",B279+1)</f>
        <v/>
      </c>
      <c r="C280" s="128" t="str">
        <f>IF(B280="","",IF('Loan Terms'!$H$15="30/360",30,D280-D279))</f>
        <v/>
      </c>
      <c r="D280" s="129" t="str">
        <f t="shared" si="33"/>
        <v/>
      </c>
      <c r="E280" s="129" t="str">
        <f>IF(B280="","",IF(B280&lt;='Loan Terms'!$G$10,"Yes","No"))</f>
        <v/>
      </c>
      <c r="F280" s="101" t="str">
        <f>IF(B280="","",IF('Loan Terms'!$C$13="Fixed",'Loan Terms'!$H$17,V280))</f>
        <v/>
      </c>
      <c r="G280" s="12" t="str">
        <f t="shared" si="34"/>
        <v/>
      </c>
      <c r="H280" s="12" t="str">
        <f>IF(G280="","",IF('Loan Terms'!$C$13="Fixed",(E280="Yes")*J280+(E280="No")*'Loan Terms'!$H$19,PMT(F280/12,'Loan Terms'!$G$11-B280+1,-G280)))</f>
        <v/>
      </c>
      <c r="I280" s="12" t="str">
        <f>IF(B280="","",IF(B280='Loan Terms'!$H$9*12,G280,H280-J280))</f>
        <v/>
      </c>
      <c r="J280" s="130" t="str">
        <f>IF(B280="","",IF('Loan Terms'!$H$15="Actual/365",F280*(C280/365),F280*(C280/360))*G280)</f>
        <v/>
      </c>
      <c r="K280" s="12" t="str">
        <f t="shared" si="31"/>
        <v/>
      </c>
      <c r="L280" s="130" t="str">
        <f t="shared" si="35"/>
        <v/>
      </c>
      <c r="N280" s="14" t="str">
        <f t="shared" si="36"/>
        <v/>
      </c>
      <c r="S280" s="217" t="str">
        <f t="shared" si="32"/>
        <v/>
      </c>
      <c r="T280" s="218" t="str">
        <f t="shared" si="30"/>
        <v/>
      </c>
      <c r="U280" s="219" t="str">
        <f>IF(S280="","",'Loan Terms'!$H$14)</f>
        <v/>
      </c>
      <c r="V280" s="220" t="str">
        <f t="shared" si="37"/>
        <v/>
      </c>
    </row>
    <row r="281" spans="2:22" ht="14.25" customHeight="1" x14ac:dyDescent="0.2">
      <c r="B281" s="126" t="str">
        <f>IF(OR(B280="",B280='Loan Terms'!$H$9*12),"",B280+1)</f>
        <v/>
      </c>
      <c r="C281" s="128" t="str">
        <f>IF(B281="","",IF('Loan Terms'!$H$15="30/360",30,D281-D280))</f>
        <v/>
      </c>
      <c r="D281" s="129" t="str">
        <f t="shared" si="33"/>
        <v/>
      </c>
      <c r="E281" s="129" t="str">
        <f>IF(B281="","",IF(B281&lt;='Loan Terms'!$G$10,"Yes","No"))</f>
        <v/>
      </c>
      <c r="F281" s="101" t="str">
        <f>IF(B281="","",IF('Loan Terms'!$C$13="Fixed",'Loan Terms'!$H$17,V281))</f>
        <v/>
      </c>
      <c r="G281" s="12" t="str">
        <f t="shared" si="34"/>
        <v/>
      </c>
      <c r="H281" s="12" t="str">
        <f>IF(G281="","",IF('Loan Terms'!$C$13="Fixed",(E281="Yes")*J281+(E281="No")*'Loan Terms'!$H$19,PMT(F281/12,'Loan Terms'!$G$11-B281+1,-G281)))</f>
        <v/>
      </c>
      <c r="I281" s="12" t="str">
        <f>IF(B281="","",IF(B281='Loan Terms'!$H$9*12,G281,H281-J281))</f>
        <v/>
      </c>
      <c r="J281" s="130" t="str">
        <f>IF(B281="","",IF('Loan Terms'!$H$15="Actual/365",F281*(C281/365),F281*(C281/360))*G281)</f>
        <v/>
      </c>
      <c r="K281" s="12" t="str">
        <f t="shared" si="31"/>
        <v/>
      </c>
      <c r="L281" s="130" t="str">
        <f t="shared" si="35"/>
        <v/>
      </c>
      <c r="N281" s="14" t="str">
        <f t="shared" si="36"/>
        <v/>
      </c>
      <c r="S281" s="217" t="str">
        <f t="shared" si="32"/>
        <v/>
      </c>
      <c r="T281" s="218" t="str">
        <f t="shared" si="30"/>
        <v/>
      </c>
      <c r="U281" s="219" t="str">
        <f>IF(S281="","",'Loan Terms'!$H$14)</f>
        <v/>
      </c>
      <c r="V281" s="220" t="str">
        <f t="shared" si="37"/>
        <v/>
      </c>
    </row>
    <row r="282" spans="2:22" ht="14.25" customHeight="1" x14ac:dyDescent="0.2">
      <c r="B282" s="126" t="str">
        <f>IF(OR(B281="",B281='Loan Terms'!$H$9*12),"",B281+1)</f>
        <v/>
      </c>
      <c r="C282" s="128" t="str">
        <f>IF(B282="","",IF('Loan Terms'!$H$15="30/360",30,D282-D281))</f>
        <v/>
      </c>
      <c r="D282" s="129" t="str">
        <f t="shared" si="33"/>
        <v/>
      </c>
      <c r="E282" s="129" t="str">
        <f>IF(B282="","",IF(B282&lt;='Loan Terms'!$G$10,"Yes","No"))</f>
        <v/>
      </c>
      <c r="F282" s="101" t="str">
        <f>IF(B282="","",IF('Loan Terms'!$C$13="Fixed",'Loan Terms'!$H$17,V282))</f>
        <v/>
      </c>
      <c r="G282" s="12" t="str">
        <f t="shared" si="34"/>
        <v/>
      </c>
      <c r="H282" s="12" t="str">
        <f>IF(G282="","",IF('Loan Terms'!$C$13="Fixed",(E282="Yes")*J282+(E282="No")*'Loan Terms'!$H$19,PMT(F282/12,'Loan Terms'!$G$11-B282+1,-G282)))</f>
        <v/>
      </c>
      <c r="I282" s="12" t="str">
        <f>IF(B282="","",IF(B282='Loan Terms'!$H$9*12,G282,H282-J282))</f>
        <v/>
      </c>
      <c r="J282" s="130" t="str">
        <f>IF(B282="","",IF('Loan Terms'!$H$15="Actual/365",F282*(C282/365),F282*(C282/360))*G282)</f>
        <v/>
      </c>
      <c r="K282" s="12" t="str">
        <f t="shared" si="31"/>
        <v/>
      </c>
      <c r="L282" s="130" t="str">
        <f t="shared" si="35"/>
        <v/>
      </c>
      <c r="N282" s="14" t="str">
        <f t="shared" si="36"/>
        <v/>
      </c>
      <c r="S282" s="217" t="str">
        <f t="shared" si="32"/>
        <v/>
      </c>
      <c r="T282" s="218" t="str">
        <f t="shared" si="30"/>
        <v/>
      </c>
      <c r="U282" s="219" t="str">
        <f>IF(S282="","",'Loan Terms'!$H$14)</f>
        <v/>
      </c>
      <c r="V282" s="220" t="str">
        <f t="shared" si="37"/>
        <v/>
      </c>
    </row>
    <row r="283" spans="2:22" ht="14.25" customHeight="1" x14ac:dyDescent="0.2">
      <c r="B283" s="126" t="str">
        <f>IF(OR(B282="",B282='Loan Terms'!$H$9*12),"",B282+1)</f>
        <v/>
      </c>
      <c r="C283" s="128" t="str">
        <f>IF(B283="","",IF('Loan Terms'!$H$15="30/360",30,D283-D282))</f>
        <v/>
      </c>
      <c r="D283" s="129" t="str">
        <f t="shared" si="33"/>
        <v/>
      </c>
      <c r="E283" s="129" t="str">
        <f>IF(B283="","",IF(B283&lt;='Loan Terms'!$G$10,"Yes","No"))</f>
        <v/>
      </c>
      <c r="F283" s="101" t="str">
        <f>IF(B283="","",IF('Loan Terms'!$C$13="Fixed",'Loan Terms'!$H$17,V283))</f>
        <v/>
      </c>
      <c r="G283" s="12" t="str">
        <f t="shared" si="34"/>
        <v/>
      </c>
      <c r="H283" s="12" t="str">
        <f>IF(G283="","",IF('Loan Terms'!$C$13="Fixed",(E283="Yes")*J283+(E283="No")*'Loan Terms'!$H$19,PMT(F283/12,'Loan Terms'!$G$11-B283+1,-G283)))</f>
        <v/>
      </c>
      <c r="I283" s="12" t="str">
        <f>IF(B283="","",IF(B283='Loan Terms'!$H$9*12,G283,H283-J283))</f>
        <v/>
      </c>
      <c r="J283" s="130" t="str">
        <f>IF(B283="","",IF('Loan Terms'!$H$15="Actual/365",F283*(C283/365),F283*(C283/360))*G283)</f>
        <v/>
      </c>
      <c r="K283" s="12" t="str">
        <f t="shared" si="31"/>
        <v/>
      </c>
      <c r="L283" s="130" t="str">
        <f t="shared" si="35"/>
        <v/>
      </c>
      <c r="N283" s="14" t="str">
        <f t="shared" si="36"/>
        <v/>
      </c>
      <c r="S283" s="217" t="str">
        <f t="shared" si="32"/>
        <v/>
      </c>
      <c r="T283" s="218" t="str">
        <f t="shared" si="30"/>
        <v/>
      </c>
      <c r="U283" s="219" t="str">
        <f>IF(S283="","",'Loan Terms'!$H$14)</f>
        <v/>
      </c>
      <c r="V283" s="220" t="str">
        <f t="shared" si="37"/>
        <v/>
      </c>
    </row>
    <row r="284" spans="2:22" ht="14.25" customHeight="1" x14ac:dyDescent="0.2">
      <c r="B284" s="126" t="str">
        <f>IF(OR(B283="",B283='Loan Terms'!$H$9*12),"",B283+1)</f>
        <v/>
      </c>
      <c r="C284" s="128" t="str">
        <f>IF(B284="","",IF('Loan Terms'!$H$15="30/360",30,D284-D283))</f>
        <v/>
      </c>
      <c r="D284" s="129" t="str">
        <f t="shared" si="33"/>
        <v/>
      </c>
      <c r="E284" s="129" t="str">
        <f>IF(B284="","",IF(B284&lt;='Loan Terms'!$G$10,"Yes","No"))</f>
        <v/>
      </c>
      <c r="F284" s="101" t="str">
        <f>IF(B284="","",IF('Loan Terms'!$C$13="Fixed",'Loan Terms'!$H$17,V284))</f>
        <v/>
      </c>
      <c r="G284" s="12" t="str">
        <f t="shared" si="34"/>
        <v/>
      </c>
      <c r="H284" s="12" t="str">
        <f>IF(G284="","",IF('Loan Terms'!$C$13="Fixed",(E284="Yes")*J284+(E284="No")*'Loan Terms'!$H$19,PMT(F284/12,'Loan Terms'!$G$11-B284+1,-G284)))</f>
        <v/>
      </c>
      <c r="I284" s="12" t="str">
        <f>IF(B284="","",IF(B284='Loan Terms'!$H$9*12,G284,H284-J284))</f>
        <v/>
      </c>
      <c r="J284" s="130" t="str">
        <f>IF(B284="","",IF('Loan Terms'!$H$15="Actual/365",F284*(C284/365),F284*(C284/360))*G284)</f>
        <v/>
      </c>
      <c r="K284" s="12" t="str">
        <f t="shared" si="31"/>
        <v/>
      </c>
      <c r="L284" s="130" t="str">
        <f t="shared" si="35"/>
        <v/>
      </c>
      <c r="N284" s="14" t="str">
        <f t="shared" si="36"/>
        <v/>
      </c>
      <c r="S284" s="217" t="str">
        <f t="shared" si="32"/>
        <v/>
      </c>
      <c r="T284" s="218" t="str">
        <f t="shared" si="30"/>
        <v/>
      </c>
      <c r="U284" s="219" t="str">
        <f>IF(S284="","",'Loan Terms'!$H$14)</f>
        <v/>
      </c>
      <c r="V284" s="220" t="str">
        <f t="shared" si="37"/>
        <v/>
      </c>
    </row>
    <row r="285" spans="2:22" ht="14.25" customHeight="1" x14ac:dyDescent="0.2">
      <c r="B285" s="126" t="str">
        <f>IF(OR(B284="",B284='Loan Terms'!$H$9*12),"",B284+1)</f>
        <v/>
      </c>
      <c r="C285" s="128" t="str">
        <f>IF(B285="","",IF('Loan Terms'!$H$15="30/360",30,D285-D284))</f>
        <v/>
      </c>
      <c r="D285" s="129" t="str">
        <f t="shared" si="33"/>
        <v/>
      </c>
      <c r="E285" s="129" t="str">
        <f>IF(B285="","",IF(B285&lt;='Loan Terms'!$G$10,"Yes","No"))</f>
        <v/>
      </c>
      <c r="F285" s="101" t="str">
        <f>IF(B285="","",IF('Loan Terms'!$C$13="Fixed",'Loan Terms'!$H$17,V285))</f>
        <v/>
      </c>
      <c r="G285" s="12" t="str">
        <f t="shared" si="34"/>
        <v/>
      </c>
      <c r="H285" s="12" t="str">
        <f>IF(G285="","",IF('Loan Terms'!$C$13="Fixed",(E285="Yes")*J285+(E285="No")*'Loan Terms'!$H$19,PMT(F285/12,'Loan Terms'!$G$11-B285+1,-G285)))</f>
        <v/>
      </c>
      <c r="I285" s="12" t="str">
        <f>IF(B285="","",IF(B285='Loan Terms'!$H$9*12,G285,H285-J285))</f>
        <v/>
      </c>
      <c r="J285" s="130" t="str">
        <f>IF(B285="","",IF('Loan Terms'!$H$15="Actual/365",F285*(C285/365),F285*(C285/360))*G285)</f>
        <v/>
      </c>
      <c r="K285" s="12" t="str">
        <f t="shared" si="31"/>
        <v/>
      </c>
      <c r="L285" s="130" t="str">
        <f t="shared" si="35"/>
        <v/>
      </c>
      <c r="N285" s="14" t="str">
        <f t="shared" si="36"/>
        <v/>
      </c>
      <c r="S285" s="217" t="str">
        <f t="shared" si="32"/>
        <v/>
      </c>
      <c r="T285" s="218" t="str">
        <f t="shared" si="30"/>
        <v/>
      </c>
      <c r="U285" s="219" t="str">
        <f>IF(S285="","",'Loan Terms'!$H$14)</f>
        <v/>
      </c>
      <c r="V285" s="220" t="str">
        <f t="shared" si="37"/>
        <v/>
      </c>
    </row>
    <row r="286" spans="2:22" ht="14.25" customHeight="1" x14ac:dyDescent="0.2">
      <c r="B286" s="126" t="str">
        <f>IF(OR(B285="",B285='Loan Terms'!$H$9*12),"",B285+1)</f>
        <v/>
      </c>
      <c r="C286" s="128" t="str">
        <f>IF(B286="","",IF('Loan Terms'!$H$15="30/360",30,D286-D285))</f>
        <v/>
      </c>
      <c r="D286" s="129" t="str">
        <f t="shared" si="33"/>
        <v/>
      </c>
      <c r="E286" s="129" t="str">
        <f>IF(B286="","",IF(B286&lt;='Loan Terms'!$G$10,"Yes","No"))</f>
        <v/>
      </c>
      <c r="F286" s="101" t="str">
        <f>IF(B286="","",IF('Loan Terms'!$C$13="Fixed",'Loan Terms'!$H$17,V286))</f>
        <v/>
      </c>
      <c r="G286" s="12" t="str">
        <f t="shared" si="34"/>
        <v/>
      </c>
      <c r="H286" s="12" t="str">
        <f>IF(G286="","",IF('Loan Terms'!$C$13="Fixed",(E286="Yes")*J286+(E286="No")*'Loan Terms'!$H$19,PMT(F286/12,'Loan Terms'!$G$11-B286+1,-G286)))</f>
        <v/>
      </c>
      <c r="I286" s="12" t="str">
        <f>IF(B286="","",IF(B286='Loan Terms'!$H$9*12,G286,H286-J286))</f>
        <v/>
      </c>
      <c r="J286" s="130" t="str">
        <f>IF(B286="","",IF('Loan Terms'!$H$15="Actual/365",F286*(C286/365),F286*(C286/360))*G286)</f>
        <v/>
      </c>
      <c r="K286" s="12" t="str">
        <f t="shared" si="31"/>
        <v/>
      </c>
      <c r="L286" s="130" t="str">
        <f t="shared" si="35"/>
        <v/>
      </c>
      <c r="N286" s="14" t="str">
        <f t="shared" si="36"/>
        <v/>
      </c>
      <c r="S286" s="217" t="str">
        <f t="shared" si="32"/>
        <v/>
      </c>
      <c r="T286" s="218" t="str">
        <f t="shared" si="30"/>
        <v/>
      </c>
      <c r="U286" s="219" t="str">
        <f>IF(S286="","",'Loan Terms'!$H$14)</f>
        <v/>
      </c>
      <c r="V286" s="220" t="str">
        <f t="shared" si="37"/>
        <v/>
      </c>
    </row>
    <row r="287" spans="2:22" ht="14.25" customHeight="1" x14ac:dyDescent="0.2">
      <c r="B287" s="126" t="str">
        <f>IF(OR(B286="",B286='Loan Terms'!$H$9*12),"",B286+1)</f>
        <v/>
      </c>
      <c r="C287" s="128" t="str">
        <f>IF(B287="","",IF('Loan Terms'!$H$15="30/360",30,D287-D286))</f>
        <v/>
      </c>
      <c r="D287" s="129" t="str">
        <f t="shared" si="33"/>
        <v/>
      </c>
      <c r="E287" s="129" t="str">
        <f>IF(B287="","",IF(B287&lt;='Loan Terms'!$G$10,"Yes","No"))</f>
        <v/>
      </c>
      <c r="F287" s="101" t="str">
        <f>IF(B287="","",IF('Loan Terms'!$C$13="Fixed",'Loan Terms'!$H$17,V287))</f>
        <v/>
      </c>
      <c r="G287" s="12" t="str">
        <f t="shared" si="34"/>
        <v/>
      </c>
      <c r="H287" s="12" t="str">
        <f>IF(G287="","",IF('Loan Terms'!$C$13="Fixed",(E287="Yes")*J287+(E287="No")*'Loan Terms'!$H$19,PMT(F287/12,'Loan Terms'!$G$11-B287+1,-G287)))</f>
        <v/>
      </c>
      <c r="I287" s="12" t="str">
        <f>IF(B287="","",IF(B287='Loan Terms'!$H$9*12,G287,H287-J287))</f>
        <v/>
      </c>
      <c r="J287" s="130" t="str">
        <f>IF(B287="","",IF('Loan Terms'!$H$15="Actual/365",F287*(C287/365),F287*(C287/360))*G287)</f>
        <v/>
      </c>
      <c r="K287" s="12" t="str">
        <f t="shared" si="31"/>
        <v/>
      </c>
      <c r="L287" s="130" t="str">
        <f t="shared" si="35"/>
        <v/>
      </c>
      <c r="N287" s="14" t="str">
        <f t="shared" si="36"/>
        <v/>
      </c>
      <c r="S287" s="217" t="str">
        <f t="shared" si="32"/>
        <v/>
      </c>
      <c r="T287" s="218" t="str">
        <f t="shared" si="30"/>
        <v/>
      </c>
      <c r="U287" s="219" t="str">
        <f>IF(S287="","",'Loan Terms'!$H$14)</f>
        <v/>
      </c>
      <c r="V287" s="220" t="str">
        <f t="shared" si="37"/>
        <v/>
      </c>
    </row>
    <row r="288" spans="2:22" ht="14.25" customHeight="1" x14ac:dyDescent="0.2">
      <c r="B288" s="126" t="str">
        <f>IF(OR(B287="",B287='Loan Terms'!$H$9*12),"",B287+1)</f>
        <v/>
      </c>
      <c r="C288" s="128" t="str">
        <f>IF(B288="","",IF('Loan Terms'!$H$15="30/360",30,D288-D287))</f>
        <v/>
      </c>
      <c r="D288" s="129" t="str">
        <f t="shared" si="33"/>
        <v/>
      </c>
      <c r="E288" s="129" t="str">
        <f>IF(B288="","",IF(B288&lt;='Loan Terms'!$G$10,"Yes","No"))</f>
        <v/>
      </c>
      <c r="F288" s="101" t="str">
        <f>IF(B288="","",IF('Loan Terms'!$C$13="Fixed",'Loan Terms'!$H$17,V288))</f>
        <v/>
      </c>
      <c r="G288" s="12" t="str">
        <f t="shared" si="34"/>
        <v/>
      </c>
      <c r="H288" s="12" t="str">
        <f>IF(G288="","",IF('Loan Terms'!$C$13="Fixed",(E288="Yes")*J288+(E288="No")*'Loan Terms'!$H$19,PMT(F288/12,'Loan Terms'!$G$11-B288+1,-G288)))</f>
        <v/>
      </c>
      <c r="I288" s="12" t="str">
        <f>IF(B288="","",IF(B288='Loan Terms'!$H$9*12,G288,H288-J288))</f>
        <v/>
      </c>
      <c r="J288" s="130" t="str">
        <f>IF(B288="","",IF('Loan Terms'!$H$15="Actual/365",F288*(C288/365),F288*(C288/360))*G288)</f>
        <v/>
      </c>
      <c r="K288" s="12" t="str">
        <f t="shared" si="31"/>
        <v/>
      </c>
      <c r="L288" s="130" t="str">
        <f t="shared" si="35"/>
        <v/>
      </c>
      <c r="N288" s="14" t="str">
        <f t="shared" si="36"/>
        <v/>
      </c>
      <c r="S288" s="217" t="str">
        <f t="shared" si="32"/>
        <v/>
      </c>
      <c r="T288" s="218" t="str">
        <f t="shared" si="30"/>
        <v/>
      </c>
      <c r="U288" s="219" t="str">
        <f>IF(S288="","",'Loan Terms'!$H$14)</f>
        <v/>
      </c>
      <c r="V288" s="220" t="str">
        <f t="shared" si="37"/>
        <v/>
      </c>
    </row>
    <row r="289" spans="2:22" ht="14.25" customHeight="1" x14ac:dyDescent="0.2">
      <c r="B289" s="126" t="str">
        <f>IF(OR(B288="",B288='Loan Terms'!$H$9*12),"",B288+1)</f>
        <v/>
      </c>
      <c r="C289" s="128" t="str">
        <f>IF(B289="","",IF('Loan Terms'!$H$15="30/360",30,D289-D288))</f>
        <v/>
      </c>
      <c r="D289" s="129" t="str">
        <f t="shared" si="33"/>
        <v/>
      </c>
      <c r="E289" s="129" t="str">
        <f>IF(B289="","",IF(B289&lt;='Loan Terms'!$G$10,"Yes","No"))</f>
        <v/>
      </c>
      <c r="F289" s="101" t="str">
        <f>IF(B289="","",IF('Loan Terms'!$C$13="Fixed",'Loan Terms'!$H$17,V289))</f>
        <v/>
      </c>
      <c r="G289" s="12" t="str">
        <f t="shared" si="34"/>
        <v/>
      </c>
      <c r="H289" s="12" t="str">
        <f>IF(G289="","",IF('Loan Terms'!$C$13="Fixed",(E289="Yes")*J289+(E289="No")*'Loan Terms'!$H$19,PMT(F289/12,'Loan Terms'!$G$11-B289+1,-G289)))</f>
        <v/>
      </c>
      <c r="I289" s="12" t="str">
        <f>IF(B289="","",IF(B289='Loan Terms'!$H$9*12,G289,H289-J289))</f>
        <v/>
      </c>
      <c r="J289" s="130" t="str">
        <f>IF(B289="","",IF('Loan Terms'!$H$15="Actual/365",F289*(C289/365),F289*(C289/360))*G289)</f>
        <v/>
      </c>
      <c r="K289" s="12" t="str">
        <f t="shared" si="31"/>
        <v/>
      </c>
      <c r="L289" s="130" t="str">
        <f t="shared" si="35"/>
        <v/>
      </c>
      <c r="N289" s="14" t="str">
        <f t="shared" si="36"/>
        <v/>
      </c>
      <c r="S289" s="217" t="str">
        <f t="shared" si="32"/>
        <v/>
      </c>
      <c r="T289" s="218" t="str">
        <f t="shared" si="30"/>
        <v/>
      </c>
      <c r="U289" s="219" t="str">
        <f>IF(S289="","",'Loan Terms'!$H$14)</f>
        <v/>
      </c>
      <c r="V289" s="220" t="str">
        <f t="shared" si="37"/>
        <v/>
      </c>
    </row>
    <row r="290" spans="2:22" ht="14.25" customHeight="1" x14ac:dyDescent="0.2">
      <c r="B290" s="126" t="str">
        <f>IF(OR(B289="",B289='Loan Terms'!$H$9*12),"",B289+1)</f>
        <v/>
      </c>
      <c r="C290" s="128" t="str">
        <f>IF(B290="","",IF('Loan Terms'!$H$15="30/360",30,D290-D289))</f>
        <v/>
      </c>
      <c r="D290" s="129" t="str">
        <f t="shared" si="33"/>
        <v/>
      </c>
      <c r="E290" s="129" t="str">
        <f>IF(B290="","",IF(B290&lt;='Loan Terms'!$G$10,"Yes","No"))</f>
        <v/>
      </c>
      <c r="F290" s="101" t="str">
        <f>IF(B290="","",IF('Loan Terms'!$C$13="Fixed",'Loan Terms'!$H$17,V290))</f>
        <v/>
      </c>
      <c r="G290" s="12" t="str">
        <f t="shared" si="34"/>
        <v/>
      </c>
      <c r="H290" s="12" t="str">
        <f>IF(G290="","",IF('Loan Terms'!$C$13="Fixed",(E290="Yes")*J290+(E290="No")*'Loan Terms'!$H$19,PMT(F290/12,'Loan Terms'!$G$11-B290+1,-G290)))</f>
        <v/>
      </c>
      <c r="I290" s="12" t="str">
        <f>IF(B290="","",IF(B290='Loan Terms'!$H$9*12,G290,H290-J290))</f>
        <v/>
      </c>
      <c r="J290" s="130" t="str">
        <f>IF(B290="","",IF('Loan Terms'!$H$15="Actual/365",F290*(C290/365),F290*(C290/360))*G290)</f>
        <v/>
      </c>
      <c r="K290" s="12" t="str">
        <f t="shared" si="31"/>
        <v/>
      </c>
      <c r="L290" s="130" t="str">
        <f t="shared" si="35"/>
        <v/>
      </c>
      <c r="N290" s="14" t="str">
        <f t="shared" si="36"/>
        <v/>
      </c>
      <c r="S290" s="217" t="str">
        <f t="shared" si="32"/>
        <v/>
      </c>
      <c r="T290" s="218" t="str">
        <f t="shared" si="30"/>
        <v/>
      </c>
      <c r="U290" s="219" t="str">
        <f>IF(S290="","",'Loan Terms'!$H$14)</f>
        <v/>
      </c>
      <c r="V290" s="220" t="str">
        <f t="shared" si="37"/>
        <v/>
      </c>
    </row>
    <row r="291" spans="2:22" ht="14.25" customHeight="1" x14ac:dyDescent="0.2">
      <c r="B291" s="126" t="str">
        <f>IF(OR(B290="",B290='Loan Terms'!$H$9*12),"",B290+1)</f>
        <v/>
      </c>
      <c r="C291" s="128" t="str">
        <f>IF(B291="","",IF('Loan Terms'!$H$15="30/360",30,D291-D290))</f>
        <v/>
      </c>
      <c r="D291" s="129" t="str">
        <f t="shared" si="33"/>
        <v/>
      </c>
      <c r="E291" s="129" t="str">
        <f>IF(B291="","",IF(B291&lt;='Loan Terms'!$G$10,"Yes","No"))</f>
        <v/>
      </c>
      <c r="F291" s="101" t="str">
        <f>IF(B291="","",IF('Loan Terms'!$C$13="Fixed",'Loan Terms'!$H$17,V291))</f>
        <v/>
      </c>
      <c r="G291" s="12" t="str">
        <f t="shared" si="34"/>
        <v/>
      </c>
      <c r="H291" s="12" t="str">
        <f>IF(G291="","",IF('Loan Terms'!$C$13="Fixed",(E291="Yes")*J291+(E291="No")*'Loan Terms'!$H$19,PMT(F291/12,'Loan Terms'!$G$11-B291+1,-G291)))</f>
        <v/>
      </c>
      <c r="I291" s="12" t="str">
        <f>IF(B291="","",IF(B291='Loan Terms'!$H$9*12,G291,H291-J291))</f>
        <v/>
      </c>
      <c r="J291" s="130" t="str">
        <f>IF(B291="","",IF('Loan Terms'!$H$15="Actual/365",F291*(C291/365),F291*(C291/360))*G291)</f>
        <v/>
      </c>
      <c r="K291" s="12" t="str">
        <f t="shared" si="31"/>
        <v/>
      </c>
      <c r="L291" s="130" t="str">
        <f t="shared" si="35"/>
        <v/>
      </c>
      <c r="N291" s="14" t="str">
        <f t="shared" si="36"/>
        <v/>
      </c>
      <c r="S291" s="217" t="str">
        <f t="shared" si="32"/>
        <v/>
      </c>
      <c r="T291" s="218" t="str">
        <f t="shared" si="30"/>
        <v/>
      </c>
      <c r="U291" s="219" t="str">
        <f>IF(S291="","",'Loan Terms'!$H$14)</f>
        <v/>
      </c>
      <c r="V291" s="220" t="str">
        <f t="shared" si="37"/>
        <v/>
      </c>
    </row>
    <row r="292" spans="2:22" ht="14.25" customHeight="1" x14ac:dyDescent="0.2">
      <c r="B292" s="126" t="str">
        <f>IF(OR(B291="",B291='Loan Terms'!$H$9*12),"",B291+1)</f>
        <v/>
      </c>
      <c r="C292" s="128" t="str">
        <f>IF(B292="","",IF('Loan Terms'!$H$15="30/360",30,D292-D291))</f>
        <v/>
      </c>
      <c r="D292" s="129" t="str">
        <f t="shared" si="33"/>
        <v/>
      </c>
      <c r="E292" s="129" t="str">
        <f>IF(B292="","",IF(B292&lt;='Loan Terms'!$G$10,"Yes","No"))</f>
        <v/>
      </c>
      <c r="F292" s="101" t="str">
        <f>IF(B292="","",IF('Loan Terms'!$C$13="Fixed",'Loan Terms'!$H$17,V292))</f>
        <v/>
      </c>
      <c r="G292" s="12" t="str">
        <f t="shared" si="34"/>
        <v/>
      </c>
      <c r="H292" s="12" t="str">
        <f>IF(G292="","",IF('Loan Terms'!$C$13="Fixed",(E292="Yes")*J292+(E292="No")*'Loan Terms'!$H$19,PMT(F292/12,'Loan Terms'!$G$11-B292+1,-G292)))</f>
        <v/>
      </c>
      <c r="I292" s="12" t="str">
        <f>IF(B292="","",IF(B292='Loan Terms'!$H$9*12,G292,H292-J292))</f>
        <v/>
      </c>
      <c r="J292" s="130" t="str">
        <f>IF(B292="","",IF('Loan Terms'!$H$15="Actual/365",F292*(C292/365),F292*(C292/360))*G292)</f>
        <v/>
      </c>
      <c r="K292" s="12" t="str">
        <f t="shared" si="31"/>
        <v/>
      </c>
      <c r="L292" s="130" t="str">
        <f t="shared" si="35"/>
        <v/>
      </c>
      <c r="N292" s="14" t="str">
        <f t="shared" si="36"/>
        <v/>
      </c>
      <c r="S292" s="217" t="str">
        <f t="shared" si="32"/>
        <v/>
      </c>
      <c r="T292" s="218" t="str">
        <f t="shared" si="30"/>
        <v/>
      </c>
      <c r="U292" s="219" t="str">
        <f>IF(S292="","",'Loan Terms'!$H$14)</f>
        <v/>
      </c>
      <c r="V292" s="220" t="str">
        <f t="shared" si="37"/>
        <v/>
      </c>
    </row>
    <row r="293" spans="2:22" ht="14.25" customHeight="1" x14ac:dyDescent="0.2">
      <c r="B293" s="126" t="str">
        <f>IF(OR(B292="",B292='Loan Terms'!$H$9*12),"",B292+1)</f>
        <v/>
      </c>
      <c r="C293" s="128" t="str">
        <f>IF(B293="","",IF('Loan Terms'!$H$15="30/360",30,D293-D292))</f>
        <v/>
      </c>
      <c r="D293" s="129" t="str">
        <f t="shared" si="33"/>
        <v/>
      </c>
      <c r="E293" s="129" t="str">
        <f>IF(B293="","",IF(B293&lt;='Loan Terms'!$G$10,"Yes","No"))</f>
        <v/>
      </c>
      <c r="F293" s="101" t="str">
        <f>IF(B293="","",IF('Loan Terms'!$C$13="Fixed",'Loan Terms'!$H$17,V293))</f>
        <v/>
      </c>
      <c r="G293" s="12" t="str">
        <f t="shared" si="34"/>
        <v/>
      </c>
      <c r="H293" s="12" t="str">
        <f>IF(G293="","",IF('Loan Terms'!$C$13="Fixed",(E293="Yes")*J293+(E293="No")*'Loan Terms'!$H$19,PMT(F293/12,'Loan Terms'!$G$11-B293+1,-G293)))</f>
        <v/>
      </c>
      <c r="I293" s="12" t="str">
        <f>IF(B293="","",IF(B293='Loan Terms'!$H$9*12,G293,H293-J293))</f>
        <v/>
      </c>
      <c r="J293" s="130" t="str">
        <f>IF(B293="","",IF('Loan Terms'!$H$15="Actual/365",F293*(C293/365),F293*(C293/360))*G293)</f>
        <v/>
      </c>
      <c r="K293" s="12" t="str">
        <f t="shared" si="31"/>
        <v/>
      </c>
      <c r="L293" s="130" t="str">
        <f t="shared" si="35"/>
        <v/>
      </c>
      <c r="N293" s="14" t="str">
        <f t="shared" si="36"/>
        <v/>
      </c>
      <c r="S293" s="217" t="str">
        <f t="shared" si="32"/>
        <v/>
      </c>
      <c r="T293" s="218" t="str">
        <f t="shared" si="30"/>
        <v/>
      </c>
      <c r="U293" s="219" t="str">
        <f>IF(S293="","",'Loan Terms'!$H$14)</f>
        <v/>
      </c>
      <c r="V293" s="220" t="str">
        <f t="shared" si="37"/>
        <v/>
      </c>
    </row>
    <row r="294" spans="2:22" ht="14.25" customHeight="1" x14ac:dyDescent="0.2">
      <c r="B294" s="126" t="str">
        <f>IF(OR(B293="",B293='Loan Terms'!$H$9*12),"",B293+1)</f>
        <v/>
      </c>
      <c r="C294" s="128" t="str">
        <f>IF(B294="","",IF('Loan Terms'!$H$15="30/360",30,D294-D293))</f>
        <v/>
      </c>
      <c r="D294" s="129" t="str">
        <f t="shared" si="33"/>
        <v/>
      </c>
      <c r="E294" s="129" t="str">
        <f>IF(B294="","",IF(B294&lt;='Loan Terms'!$G$10,"Yes","No"))</f>
        <v/>
      </c>
      <c r="F294" s="101" t="str">
        <f>IF(B294="","",IF('Loan Terms'!$C$13="Fixed",'Loan Terms'!$H$17,V294))</f>
        <v/>
      </c>
      <c r="G294" s="12" t="str">
        <f t="shared" si="34"/>
        <v/>
      </c>
      <c r="H294" s="12" t="str">
        <f>IF(G294="","",IF('Loan Terms'!$C$13="Fixed",(E294="Yes")*J294+(E294="No")*'Loan Terms'!$H$19,PMT(F294/12,'Loan Terms'!$G$11-B294+1,-G294)))</f>
        <v/>
      </c>
      <c r="I294" s="12" t="str">
        <f>IF(B294="","",IF(B294='Loan Terms'!$H$9*12,G294,H294-J294))</f>
        <v/>
      </c>
      <c r="J294" s="130" t="str">
        <f>IF(B294="","",IF('Loan Terms'!$H$15="Actual/365",F294*(C294/365),F294*(C294/360))*G294)</f>
        <v/>
      </c>
      <c r="K294" s="12" t="str">
        <f t="shared" si="31"/>
        <v/>
      </c>
      <c r="L294" s="130" t="str">
        <f t="shared" si="35"/>
        <v/>
      </c>
      <c r="N294" s="14" t="str">
        <f t="shared" si="36"/>
        <v/>
      </c>
      <c r="S294" s="217" t="str">
        <f t="shared" si="32"/>
        <v/>
      </c>
      <c r="T294" s="218" t="str">
        <f t="shared" si="30"/>
        <v/>
      </c>
      <c r="U294" s="219" t="str">
        <f>IF(S294="","",'Loan Terms'!$H$14)</f>
        <v/>
      </c>
      <c r="V294" s="220" t="str">
        <f t="shared" si="37"/>
        <v/>
      </c>
    </row>
    <row r="295" spans="2:22" ht="14.25" customHeight="1" x14ac:dyDescent="0.2">
      <c r="B295" s="126" t="str">
        <f>IF(OR(B294="",B294='Loan Terms'!$H$9*12),"",B294+1)</f>
        <v/>
      </c>
      <c r="C295" s="128" t="str">
        <f>IF(B295="","",IF('Loan Terms'!$H$15="30/360",30,D295-D294))</f>
        <v/>
      </c>
      <c r="D295" s="129" t="str">
        <f t="shared" si="33"/>
        <v/>
      </c>
      <c r="E295" s="129" t="str">
        <f>IF(B295="","",IF(B295&lt;='Loan Terms'!$G$10,"Yes","No"))</f>
        <v/>
      </c>
      <c r="F295" s="101" t="str">
        <f>IF(B295="","",IF('Loan Terms'!$C$13="Fixed",'Loan Terms'!$H$17,V295))</f>
        <v/>
      </c>
      <c r="G295" s="12" t="str">
        <f t="shared" si="34"/>
        <v/>
      </c>
      <c r="H295" s="12" t="str">
        <f>IF(G295="","",IF('Loan Terms'!$C$13="Fixed",(E295="Yes")*J295+(E295="No")*'Loan Terms'!$H$19,PMT(F295/12,'Loan Terms'!$G$11-B295+1,-G295)))</f>
        <v/>
      </c>
      <c r="I295" s="12" t="str">
        <f>IF(B295="","",IF(B295='Loan Terms'!$H$9*12,G295,H295-J295))</f>
        <v/>
      </c>
      <c r="J295" s="130" t="str">
        <f>IF(B295="","",IF('Loan Terms'!$H$15="Actual/365",F295*(C295/365),F295*(C295/360))*G295)</f>
        <v/>
      </c>
      <c r="K295" s="12" t="str">
        <f t="shared" si="31"/>
        <v/>
      </c>
      <c r="L295" s="130" t="str">
        <f t="shared" si="35"/>
        <v/>
      </c>
      <c r="N295" s="14" t="str">
        <f t="shared" si="36"/>
        <v/>
      </c>
      <c r="S295" s="217" t="str">
        <f t="shared" si="32"/>
        <v/>
      </c>
      <c r="T295" s="218" t="str">
        <f t="shared" si="30"/>
        <v/>
      </c>
      <c r="U295" s="219" t="str">
        <f>IF(S295="","",'Loan Terms'!$H$14)</f>
        <v/>
      </c>
      <c r="V295" s="220" t="str">
        <f t="shared" si="37"/>
        <v/>
      </c>
    </row>
    <row r="296" spans="2:22" ht="14.25" customHeight="1" x14ac:dyDescent="0.2">
      <c r="B296" s="126" t="str">
        <f>IF(OR(B295="",B295='Loan Terms'!$H$9*12),"",B295+1)</f>
        <v/>
      </c>
      <c r="C296" s="128" t="str">
        <f>IF(B296="","",IF('Loan Terms'!$H$15="30/360",30,D296-D295))</f>
        <v/>
      </c>
      <c r="D296" s="129" t="str">
        <f t="shared" si="33"/>
        <v/>
      </c>
      <c r="E296" s="129" t="str">
        <f>IF(B296="","",IF(B296&lt;='Loan Terms'!$G$10,"Yes","No"))</f>
        <v/>
      </c>
      <c r="F296" s="101" t="str">
        <f>IF(B296="","",IF('Loan Terms'!$C$13="Fixed",'Loan Terms'!$H$17,V296))</f>
        <v/>
      </c>
      <c r="G296" s="12" t="str">
        <f t="shared" si="34"/>
        <v/>
      </c>
      <c r="H296" s="12" t="str">
        <f>IF(G296="","",IF('Loan Terms'!$C$13="Fixed",(E296="Yes")*J296+(E296="No")*'Loan Terms'!$H$19,PMT(F296/12,'Loan Terms'!$G$11-B296+1,-G296)))</f>
        <v/>
      </c>
      <c r="I296" s="12" t="str">
        <f>IF(B296="","",IF(B296='Loan Terms'!$H$9*12,G296,H296-J296))</f>
        <v/>
      </c>
      <c r="J296" s="130" t="str">
        <f>IF(B296="","",IF('Loan Terms'!$H$15="Actual/365",F296*(C296/365),F296*(C296/360))*G296)</f>
        <v/>
      </c>
      <c r="K296" s="12" t="str">
        <f t="shared" si="31"/>
        <v/>
      </c>
      <c r="L296" s="130" t="str">
        <f t="shared" si="35"/>
        <v/>
      </c>
      <c r="N296" s="14" t="str">
        <f t="shared" si="36"/>
        <v/>
      </c>
      <c r="S296" s="217" t="str">
        <f t="shared" si="32"/>
        <v/>
      </c>
      <c r="T296" s="218" t="str">
        <f t="shared" si="30"/>
        <v/>
      </c>
      <c r="U296" s="219" t="str">
        <f>IF(S296="","",'Loan Terms'!$H$14)</f>
        <v/>
      </c>
      <c r="V296" s="220" t="str">
        <f t="shared" si="37"/>
        <v/>
      </c>
    </row>
    <row r="297" spans="2:22" ht="14.25" customHeight="1" x14ac:dyDescent="0.2">
      <c r="B297" s="126" t="str">
        <f>IF(OR(B296="",B296='Loan Terms'!$H$9*12),"",B296+1)</f>
        <v/>
      </c>
      <c r="C297" s="128" t="str">
        <f>IF(B297="","",IF('Loan Terms'!$H$15="30/360",30,D297-D296))</f>
        <v/>
      </c>
      <c r="D297" s="129" t="str">
        <f t="shared" si="33"/>
        <v/>
      </c>
      <c r="E297" s="129" t="str">
        <f>IF(B297="","",IF(B297&lt;='Loan Terms'!$G$10,"Yes","No"))</f>
        <v/>
      </c>
      <c r="F297" s="101" t="str">
        <f>IF(B297="","",IF('Loan Terms'!$C$13="Fixed",'Loan Terms'!$H$17,V297))</f>
        <v/>
      </c>
      <c r="G297" s="12" t="str">
        <f t="shared" si="34"/>
        <v/>
      </c>
      <c r="H297" s="12" t="str">
        <f>IF(G297="","",IF('Loan Terms'!$C$13="Fixed",(E297="Yes")*J297+(E297="No")*'Loan Terms'!$H$19,PMT(F297/12,'Loan Terms'!$G$11-B297+1,-G297)))</f>
        <v/>
      </c>
      <c r="I297" s="12" t="str">
        <f>IF(B297="","",IF(B297='Loan Terms'!$H$9*12,G297,H297-J297))</f>
        <v/>
      </c>
      <c r="J297" s="130" t="str">
        <f>IF(B297="","",IF('Loan Terms'!$H$15="Actual/365",F297*(C297/365),F297*(C297/360))*G297)</f>
        <v/>
      </c>
      <c r="K297" s="12" t="str">
        <f t="shared" si="31"/>
        <v/>
      </c>
      <c r="L297" s="130" t="str">
        <f t="shared" si="35"/>
        <v/>
      </c>
      <c r="N297" s="14" t="str">
        <f t="shared" si="36"/>
        <v/>
      </c>
      <c r="S297" s="217" t="str">
        <f t="shared" si="32"/>
        <v/>
      </c>
      <c r="T297" s="218" t="str">
        <f t="shared" si="30"/>
        <v/>
      </c>
      <c r="U297" s="219" t="str">
        <f>IF(S297="","",'Loan Terms'!$H$14)</f>
        <v/>
      </c>
      <c r="V297" s="220" t="str">
        <f t="shared" si="37"/>
        <v/>
      </c>
    </row>
    <row r="298" spans="2:22" ht="14.25" customHeight="1" x14ac:dyDescent="0.2">
      <c r="B298" s="126" t="str">
        <f>IF(OR(B297="",B297='Loan Terms'!$H$9*12),"",B297+1)</f>
        <v/>
      </c>
      <c r="C298" s="128" t="str">
        <f>IF(B298="","",IF('Loan Terms'!$H$15="30/360",30,D298-D297))</f>
        <v/>
      </c>
      <c r="D298" s="129" t="str">
        <f t="shared" si="33"/>
        <v/>
      </c>
      <c r="E298" s="129" t="str">
        <f>IF(B298="","",IF(B298&lt;='Loan Terms'!$G$10,"Yes","No"))</f>
        <v/>
      </c>
      <c r="F298" s="101" t="str">
        <f>IF(B298="","",IF('Loan Terms'!$C$13="Fixed",'Loan Terms'!$H$17,V298))</f>
        <v/>
      </c>
      <c r="G298" s="12" t="str">
        <f t="shared" si="34"/>
        <v/>
      </c>
      <c r="H298" s="12" t="str">
        <f>IF(G298="","",IF('Loan Terms'!$C$13="Fixed",(E298="Yes")*J298+(E298="No")*'Loan Terms'!$H$19,PMT(F298/12,'Loan Terms'!$G$11-B298+1,-G298)))</f>
        <v/>
      </c>
      <c r="I298" s="12" t="str">
        <f>IF(B298="","",IF(B298='Loan Terms'!$H$9*12,G298,H298-J298))</f>
        <v/>
      </c>
      <c r="J298" s="130" t="str">
        <f>IF(B298="","",IF('Loan Terms'!$H$15="Actual/365",F298*(C298/365),F298*(C298/360))*G298)</f>
        <v/>
      </c>
      <c r="K298" s="12" t="str">
        <f t="shared" si="31"/>
        <v/>
      </c>
      <c r="L298" s="130" t="str">
        <f t="shared" si="35"/>
        <v/>
      </c>
      <c r="N298" s="14" t="str">
        <f t="shared" si="36"/>
        <v/>
      </c>
      <c r="S298" s="217" t="str">
        <f t="shared" si="32"/>
        <v/>
      </c>
      <c r="T298" s="218" t="str">
        <f t="shared" si="30"/>
        <v/>
      </c>
      <c r="U298" s="219" t="str">
        <f>IF(S298="","",'Loan Terms'!$H$14)</f>
        <v/>
      </c>
      <c r="V298" s="220" t="str">
        <f t="shared" si="37"/>
        <v/>
      </c>
    </row>
    <row r="299" spans="2:22" ht="14.25" customHeight="1" x14ac:dyDescent="0.2">
      <c r="B299" s="126" t="str">
        <f>IF(OR(B298="",B298='Loan Terms'!$H$9*12),"",B298+1)</f>
        <v/>
      </c>
      <c r="C299" s="128" t="str">
        <f>IF(B299="","",IF('Loan Terms'!$H$15="30/360",30,D299-D298))</f>
        <v/>
      </c>
      <c r="D299" s="129" t="str">
        <f t="shared" si="33"/>
        <v/>
      </c>
      <c r="E299" s="129" t="str">
        <f>IF(B299="","",IF(B299&lt;='Loan Terms'!$G$10,"Yes","No"))</f>
        <v/>
      </c>
      <c r="F299" s="101" t="str">
        <f>IF(B299="","",IF('Loan Terms'!$C$13="Fixed",'Loan Terms'!$H$17,V299))</f>
        <v/>
      </c>
      <c r="G299" s="12" t="str">
        <f t="shared" si="34"/>
        <v/>
      </c>
      <c r="H299" s="12" t="str">
        <f>IF(G299="","",IF('Loan Terms'!$C$13="Fixed",(E299="Yes")*J299+(E299="No")*'Loan Terms'!$H$19,PMT(F299/12,'Loan Terms'!$G$11-B299+1,-G299)))</f>
        <v/>
      </c>
      <c r="I299" s="12" t="str">
        <f>IF(B299="","",IF(B299='Loan Terms'!$H$9*12,G299,H299-J299))</f>
        <v/>
      </c>
      <c r="J299" s="130" t="str">
        <f>IF(B299="","",IF('Loan Terms'!$H$15="Actual/365",F299*(C299/365),F299*(C299/360))*G299)</f>
        <v/>
      </c>
      <c r="K299" s="12" t="str">
        <f t="shared" si="31"/>
        <v/>
      </c>
      <c r="L299" s="130" t="str">
        <f t="shared" si="35"/>
        <v/>
      </c>
      <c r="N299" s="14" t="str">
        <f t="shared" si="36"/>
        <v/>
      </c>
      <c r="S299" s="217" t="str">
        <f t="shared" si="32"/>
        <v/>
      </c>
      <c r="T299" s="218" t="str">
        <f t="shared" si="30"/>
        <v/>
      </c>
      <c r="U299" s="219" t="str">
        <f>IF(S299="","",'Loan Terms'!$H$14)</f>
        <v/>
      </c>
      <c r="V299" s="220" t="str">
        <f t="shared" si="37"/>
        <v/>
      </c>
    </row>
    <row r="300" spans="2:22" ht="14.25" customHeight="1" x14ac:dyDescent="0.2">
      <c r="B300" s="126" t="str">
        <f>IF(OR(B299="",B299='Loan Terms'!$H$9*12),"",B299+1)</f>
        <v/>
      </c>
      <c r="C300" s="128" t="str">
        <f>IF(B300="","",IF('Loan Terms'!$H$15="30/360",30,D300-D299))</f>
        <v/>
      </c>
      <c r="D300" s="129" t="str">
        <f t="shared" si="33"/>
        <v/>
      </c>
      <c r="E300" s="129" t="str">
        <f>IF(B300="","",IF(B300&lt;='Loan Terms'!$G$10,"Yes","No"))</f>
        <v/>
      </c>
      <c r="F300" s="101" t="str">
        <f>IF(B300="","",IF('Loan Terms'!$C$13="Fixed",'Loan Terms'!$H$17,V300))</f>
        <v/>
      </c>
      <c r="G300" s="12" t="str">
        <f t="shared" si="34"/>
        <v/>
      </c>
      <c r="H300" s="12" t="str">
        <f>IF(G300="","",IF('Loan Terms'!$C$13="Fixed",(E300="Yes")*J300+(E300="No")*'Loan Terms'!$H$19,PMT(F300/12,'Loan Terms'!$G$11-B300+1,-G300)))</f>
        <v/>
      </c>
      <c r="I300" s="12" t="str">
        <f>IF(B300="","",IF(B300='Loan Terms'!$H$9*12,G300,H300-J300))</f>
        <v/>
      </c>
      <c r="J300" s="130" t="str">
        <f>IF(B300="","",IF('Loan Terms'!$H$15="Actual/365",F300*(C300/365),F300*(C300/360))*G300)</f>
        <v/>
      </c>
      <c r="K300" s="12" t="str">
        <f t="shared" si="31"/>
        <v/>
      </c>
      <c r="L300" s="130" t="str">
        <f t="shared" si="35"/>
        <v/>
      </c>
      <c r="N300" s="14" t="str">
        <f t="shared" si="36"/>
        <v/>
      </c>
      <c r="S300" s="217" t="str">
        <f t="shared" si="32"/>
        <v/>
      </c>
      <c r="T300" s="218" t="str">
        <f t="shared" si="30"/>
        <v/>
      </c>
      <c r="U300" s="219" t="str">
        <f>IF(S300="","",'Loan Terms'!$H$14)</f>
        <v/>
      </c>
      <c r="V300" s="220" t="str">
        <f t="shared" si="37"/>
        <v/>
      </c>
    </row>
    <row r="301" spans="2:22" ht="14.25" customHeight="1" x14ac:dyDescent="0.2">
      <c r="B301" s="126" t="str">
        <f>IF(OR(B300="",B300='Loan Terms'!$H$9*12),"",B300+1)</f>
        <v/>
      </c>
      <c r="C301" s="128" t="str">
        <f>IF(B301="","",IF('Loan Terms'!$H$15="30/360",30,D301-D300))</f>
        <v/>
      </c>
      <c r="D301" s="129" t="str">
        <f t="shared" si="33"/>
        <v/>
      </c>
      <c r="E301" s="129" t="str">
        <f>IF(B301="","",IF(B301&lt;='Loan Terms'!$G$10,"Yes","No"))</f>
        <v/>
      </c>
      <c r="F301" s="101" t="str">
        <f>IF(B301="","",IF('Loan Terms'!$C$13="Fixed",'Loan Terms'!$H$17,V301))</f>
        <v/>
      </c>
      <c r="G301" s="12" t="str">
        <f t="shared" si="34"/>
        <v/>
      </c>
      <c r="H301" s="12" t="str">
        <f>IF(G301="","",IF('Loan Terms'!$C$13="Fixed",(E301="Yes")*J301+(E301="No")*'Loan Terms'!$H$19,PMT(F301/12,'Loan Terms'!$G$11-B301+1,-G301)))</f>
        <v/>
      </c>
      <c r="I301" s="12" t="str">
        <f>IF(B301="","",IF(B301='Loan Terms'!$H$9*12,G301,H301-J301))</f>
        <v/>
      </c>
      <c r="J301" s="130" t="str">
        <f>IF(B301="","",IF('Loan Terms'!$H$15="Actual/365",F301*(C301/365),F301*(C301/360))*G301)</f>
        <v/>
      </c>
      <c r="K301" s="12" t="str">
        <f t="shared" si="31"/>
        <v/>
      </c>
      <c r="L301" s="130" t="str">
        <f t="shared" si="35"/>
        <v/>
      </c>
      <c r="N301" s="14" t="str">
        <f t="shared" si="36"/>
        <v/>
      </c>
      <c r="S301" s="217" t="str">
        <f t="shared" si="32"/>
        <v/>
      </c>
      <c r="T301" s="218" t="str">
        <f t="shared" si="30"/>
        <v/>
      </c>
      <c r="U301" s="219" t="str">
        <f>IF(S301="","",'Loan Terms'!$H$14)</f>
        <v/>
      </c>
      <c r="V301" s="220" t="str">
        <f t="shared" si="37"/>
        <v/>
      </c>
    </row>
    <row r="302" spans="2:22" ht="14.25" customHeight="1" x14ac:dyDescent="0.2">
      <c r="B302" s="126" t="str">
        <f>IF(OR(B301="",B301='Loan Terms'!$H$9*12),"",B301+1)</f>
        <v/>
      </c>
      <c r="C302" s="128" t="str">
        <f>IF(B302="","",IF('Loan Terms'!$H$15="30/360",30,D302-D301))</f>
        <v/>
      </c>
      <c r="D302" s="129" t="str">
        <f t="shared" si="33"/>
        <v/>
      </c>
      <c r="E302" s="129" t="str">
        <f>IF(B302="","",IF(B302&lt;='Loan Terms'!$G$10,"Yes","No"))</f>
        <v/>
      </c>
      <c r="F302" s="101" t="str">
        <f>IF(B302="","",IF('Loan Terms'!$C$13="Fixed",'Loan Terms'!$H$17,V302))</f>
        <v/>
      </c>
      <c r="G302" s="12" t="str">
        <f t="shared" si="34"/>
        <v/>
      </c>
      <c r="H302" s="12" t="str">
        <f>IF(G302="","",IF('Loan Terms'!$C$13="Fixed",(E302="Yes")*J302+(E302="No")*'Loan Terms'!$H$19,PMT(F302/12,'Loan Terms'!$G$11-B302+1,-G302)))</f>
        <v/>
      </c>
      <c r="I302" s="12" t="str">
        <f>IF(B302="","",IF(B302='Loan Terms'!$H$9*12,G302,H302-J302))</f>
        <v/>
      </c>
      <c r="J302" s="130" t="str">
        <f>IF(B302="","",IF('Loan Terms'!$H$15="Actual/365",F302*(C302/365),F302*(C302/360))*G302)</f>
        <v/>
      </c>
      <c r="K302" s="12" t="str">
        <f t="shared" si="31"/>
        <v/>
      </c>
      <c r="L302" s="130" t="str">
        <f t="shared" si="35"/>
        <v/>
      </c>
      <c r="N302" s="14" t="str">
        <f t="shared" si="36"/>
        <v/>
      </c>
      <c r="S302" s="217" t="str">
        <f t="shared" si="32"/>
        <v/>
      </c>
      <c r="T302" s="218" t="str">
        <f t="shared" si="30"/>
        <v/>
      </c>
      <c r="U302" s="219" t="str">
        <f>IF(S302="","",'Loan Terms'!$H$14)</f>
        <v/>
      </c>
      <c r="V302" s="220" t="str">
        <f t="shared" si="37"/>
        <v/>
      </c>
    </row>
    <row r="303" spans="2:22" ht="14.25" customHeight="1" x14ac:dyDescent="0.2">
      <c r="B303" s="126" t="str">
        <f>IF(OR(B302="",B302='Loan Terms'!$H$9*12),"",B302+1)</f>
        <v/>
      </c>
      <c r="C303" s="128" t="str">
        <f>IF(B303="","",IF('Loan Terms'!$H$15="30/360",30,D303-D302))</f>
        <v/>
      </c>
      <c r="D303" s="129" t="str">
        <f t="shared" si="33"/>
        <v/>
      </c>
      <c r="E303" s="129" t="str">
        <f>IF(B303="","",IF(B303&lt;='Loan Terms'!$G$10,"Yes","No"))</f>
        <v/>
      </c>
      <c r="F303" s="101" t="str">
        <f>IF(B303="","",IF('Loan Terms'!$C$13="Fixed",'Loan Terms'!$H$17,V303))</f>
        <v/>
      </c>
      <c r="G303" s="12" t="str">
        <f t="shared" si="34"/>
        <v/>
      </c>
      <c r="H303" s="12" t="str">
        <f>IF(G303="","",IF('Loan Terms'!$C$13="Fixed",(E303="Yes")*J303+(E303="No")*'Loan Terms'!$H$19,PMT(F303/12,'Loan Terms'!$G$11-B303+1,-G303)))</f>
        <v/>
      </c>
      <c r="I303" s="12" t="str">
        <f>IF(B303="","",IF(B303='Loan Terms'!$H$9*12,G303,H303-J303))</f>
        <v/>
      </c>
      <c r="J303" s="130" t="str">
        <f>IF(B303="","",IF('Loan Terms'!$H$15="Actual/365",F303*(C303/365),F303*(C303/360))*G303)</f>
        <v/>
      </c>
      <c r="K303" s="12" t="str">
        <f t="shared" si="31"/>
        <v/>
      </c>
      <c r="L303" s="130" t="str">
        <f t="shared" si="35"/>
        <v/>
      </c>
      <c r="N303" s="14" t="str">
        <f t="shared" si="36"/>
        <v/>
      </c>
      <c r="S303" s="217" t="str">
        <f t="shared" si="32"/>
        <v/>
      </c>
      <c r="T303" s="218" t="str">
        <f t="shared" si="30"/>
        <v/>
      </c>
      <c r="U303" s="219" t="str">
        <f>IF(S303="","",'Loan Terms'!$H$14)</f>
        <v/>
      </c>
      <c r="V303" s="220" t="str">
        <f t="shared" si="37"/>
        <v/>
      </c>
    </row>
    <row r="304" spans="2:22" ht="14.25" customHeight="1" x14ac:dyDescent="0.2">
      <c r="B304" s="126" t="str">
        <f>IF(OR(B303="",B303='Loan Terms'!$H$9*12),"",B303+1)</f>
        <v/>
      </c>
      <c r="C304" s="128" t="str">
        <f>IF(B304="","",IF('Loan Terms'!$H$15="30/360",30,D304-D303))</f>
        <v/>
      </c>
      <c r="D304" s="129" t="str">
        <f t="shared" si="33"/>
        <v/>
      </c>
      <c r="E304" s="129" t="str">
        <f>IF(B304="","",IF(B304&lt;='Loan Terms'!$G$10,"Yes","No"))</f>
        <v/>
      </c>
      <c r="F304" s="101" t="str">
        <f>IF(B304="","",IF('Loan Terms'!$C$13="Fixed",'Loan Terms'!$H$17,V304))</f>
        <v/>
      </c>
      <c r="G304" s="12" t="str">
        <f t="shared" si="34"/>
        <v/>
      </c>
      <c r="H304" s="12" t="str">
        <f>IF(G304="","",IF('Loan Terms'!$C$13="Fixed",(E304="Yes")*J304+(E304="No")*'Loan Terms'!$H$19,PMT(F304/12,'Loan Terms'!$G$11-B304+1,-G304)))</f>
        <v/>
      </c>
      <c r="I304" s="12" t="str">
        <f>IF(B304="","",IF(B304='Loan Terms'!$H$9*12,G304,H304-J304))</f>
        <v/>
      </c>
      <c r="J304" s="130" t="str">
        <f>IF(B304="","",IF('Loan Terms'!$H$15="Actual/365",F304*(C304/365),F304*(C304/360))*G304)</f>
        <v/>
      </c>
      <c r="K304" s="12" t="str">
        <f t="shared" si="31"/>
        <v/>
      </c>
      <c r="L304" s="130" t="str">
        <f t="shared" si="35"/>
        <v/>
      </c>
      <c r="N304" s="14" t="str">
        <f t="shared" si="36"/>
        <v/>
      </c>
      <c r="S304" s="217" t="str">
        <f t="shared" si="32"/>
        <v/>
      </c>
      <c r="T304" s="218" t="str">
        <f t="shared" si="30"/>
        <v/>
      </c>
      <c r="U304" s="219" t="str">
        <f>IF(S304="","",'Loan Terms'!$H$14)</f>
        <v/>
      </c>
      <c r="V304" s="220" t="str">
        <f t="shared" si="37"/>
        <v/>
      </c>
    </row>
    <row r="305" spans="2:22" ht="14.25" customHeight="1" x14ac:dyDescent="0.2">
      <c r="B305" s="126" t="str">
        <f>IF(OR(B304="",B304='Loan Terms'!$H$9*12),"",B304+1)</f>
        <v/>
      </c>
      <c r="C305" s="128" t="str">
        <f>IF(B305="","",IF('Loan Terms'!$H$15="30/360",30,D305-D304))</f>
        <v/>
      </c>
      <c r="D305" s="129" t="str">
        <f t="shared" si="33"/>
        <v/>
      </c>
      <c r="E305" s="129" t="str">
        <f>IF(B305="","",IF(B305&lt;='Loan Terms'!$G$10,"Yes","No"))</f>
        <v/>
      </c>
      <c r="F305" s="101" t="str">
        <f>IF(B305="","",IF('Loan Terms'!$C$13="Fixed",'Loan Terms'!$H$17,V305))</f>
        <v/>
      </c>
      <c r="G305" s="12" t="str">
        <f t="shared" si="34"/>
        <v/>
      </c>
      <c r="H305" s="12" t="str">
        <f>IF(G305="","",IF('Loan Terms'!$C$13="Fixed",(E305="Yes")*J305+(E305="No")*'Loan Terms'!$H$19,PMT(F305/12,'Loan Terms'!$G$11-B305+1,-G305)))</f>
        <v/>
      </c>
      <c r="I305" s="12" t="str">
        <f>IF(B305="","",IF(B305='Loan Terms'!$H$9*12,G305,H305-J305))</f>
        <v/>
      </c>
      <c r="J305" s="130" t="str">
        <f>IF(B305="","",IF('Loan Terms'!$H$15="Actual/365",F305*(C305/365),F305*(C305/360))*G305)</f>
        <v/>
      </c>
      <c r="K305" s="12" t="str">
        <f t="shared" si="31"/>
        <v/>
      </c>
      <c r="L305" s="130" t="str">
        <f t="shared" si="35"/>
        <v/>
      </c>
      <c r="N305" s="14" t="str">
        <f t="shared" si="36"/>
        <v/>
      </c>
      <c r="S305" s="217" t="str">
        <f t="shared" si="32"/>
        <v/>
      </c>
      <c r="T305" s="218" t="str">
        <f t="shared" si="30"/>
        <v/>
      </c>
      <c r="U305" s="219" t="str">
        <f>IF(S305="","",'Loan Terms'!$H$14)</f>
        <v/>
      </c>
      <c r="V305" s="220" t="str">
        <f t="shared" si="37"/>
        <v/>
      </c>
    </row>
    <row r="306" spans="2:22" ht="14.25" customHeight="1" x14ac:dyDescent="0.2">
      <c r="B306" s="126" t="str">
        <f>IF(OR(B305="",B305='Loan Terms'!$H$9*12),"",B305+1)</f>
        <v/>
      </c>
      <c r="C306" s="128" t="str">
        <f>IF(B306="","",IF('Loan Terms'!$H$15="30/360",30,D306-D305))</f>
        <v/>
      </c>
      <c r="D306" s="129" t="str">
        <f t="shared" si="33"/>
        <v/>
      </c>
      <c r="E306" s="129" t="str">
        <f>IF(B306="","",IF(B306&lt;='Loan Terms'!$G$10,"Yes","No"))</f>
        <v/>
      </c>
      <c r="F306" s="101" t="str">
        <f>IF(B306="","",IF('Loan Terms'!$C$13="Fixed",'Loan Terms'!$H$17,V306))</f>
        <v/>
      </c>
      <c r="G306" s="12" t="str">
        <f t="shared" si="34"/>
        <v/>
      </c>
      <c r="H306" s="12" t="str">
        <f>IF(G306="","",IF('Loan Terms'!$C$13="Fixed",(E306="Yes")*J306+(E306="No")*'Loan Terms'!$H$19,PMT(F306/12,'Loan Terms'!$G$11-B306+1,-G306)))</f>
        <v/>
      </c>
      <c r="I306" s="12" t="str">
        <f>IF(B306="","",IF(B306='Loan Terms'!$H$9*12,G306,H306-J306))</f>
        <v/>
      </c>
      <c r="J306" s="130" t="str">
        <f>IF(B306="","",IF('Loan Terms'!$H$15="Actual/365",F306*(C306/365),F306*(C306/360))*G306)</f>
        <v/>
      </c>
      <c r="K306" s="12" t="str">
        <f t="shared" si="31"/>
        <v/>
      </c>
      <c r="L306" s="130" t="str">
        <f t="shared" si="35"/>
        <v/>
      </c>
      <c r="N306" s="14" t="str">
        <f t="shared" si="36"/>
        <v/>
      </c>
      <c r="S306" s="217" t="str">
        <f t="shared" si="32"/>
        <v/>
      </c>
      <c r="T306" s="218" t="str">
        <f t="shared" si="30"/>
        <v/>
      </c>
      <c r="U306" s="219" t="str">
        <f>IF(S306="","",'Loan Terms'!$H$14)</f>
        <v/>
      </c>
      <c r="V306" s="220" t="str">
        <f t="shared" si="37"/>
        <v/>
      </c>
    </row>
    <row r="307" spans="2:22" ht="14.25" customHeight="1" x14ac:dyDescent="0.2">
      <c r="B307" s="126" t="str">
        <f>IF(OR(B306="",B306='Loan Terms'!$H$9*12),"",B306+1)</f>
        <v/>
      </c>
      <c r="C307" s="128" t="str">
        <f>IF(B307="","",IF('Loan Terms'!$H$15="30/360",30,D307-D306))</f>
        <v/>
      </c>
      <c r="D307" s="129" t="str">
        <f t="shared" si="33"/>
        <v/>
      </c>
      <c r="E307" s="129" t="str">
        <f>IF(B307="","",IF(B307&lt;='Loan Terms'!$G$10,"Yes","No"))</f>
        <v/>
      </c>
      <c r="F307" s="101" t="str">
        <f>IF(B307="","",IF('Loan Terms'!$C$13="Fixed",'Loan Terms'!$H$17,V307))</f>
        <v/>
      </c>
      <c r="G307" s="12" t="str">
        <f t="shared" si="34"/>
        <v/>
      </c>
      <c r="H307" s="12" t="str">
        <f>IF(G307="","",IF('Loan Terms'!$C$13="Fixed",(E307="Yes")*J307+(E307="No")*'Loan Terms'!$H$19,PMT(F307/12,'Loan Terms'!$G$11-B307+1,-G307)))</f>
        <v/>
      </c>
      <c r="I307" s="12" t="str">
        <f>IF(B307="","",IF(B307='Loan Terms'!$H$9*12,G307,H307-J307))</f>
        <v/>
      </c>
      <c r="J307" s="130" t="str">
        <f>IF(B307="","",IF('Loan Terms'!$H$15="Actual/365",F307*(C307/365),F307*(C307/360))*G307)</f>
        <v/>
      </c>
      <c r="K307" s="12" t="str">
        <f t="shared" si="31"/>
        <v/>
      </c>
      <c r="L307" s="130" t="str">
        <f t="shared" si="35"/>
        <v/>
      </c>
      <c r="N307" s="14" t="str">
        <f t="shared" si="36"/>
        <v/>
      </c>
      <c r="S307" s="217" t="str">
        <f t="shared" si="32"/>
        <v/>
      </c>
      <c r="T307" s="218" t="str">
        <f t="shared" si="30"/>
        <v/>
      </c>
      <c r="U307" s="219" t="str">
        <f>IF(S307="","",'Loan Terms'!$H$14)</f>
        <v/>
      </c>
      <c r="V307" s="220" t="str">
        <f t="shared" si="37"/>
        <v/>
      </c>
    </row>
    <row r="308" spans="2:22" ht="14.25" customHeight="1" x14ac:dyDescent="0.2">
      <c r="B308" s="126" t="str">
        <f>IF(OR(B307="",B307='Loan Terms'!$H$9*12),"",B307+1)</f>
        <v/>
      </c>
      <c r="C308" s="128" t="str">
        <f>IF(B308="","",IF('Loan Terms'!$H$15="30/360",30,D308-D307))</f>
        <v/>
      </c>
      <c r="D308" s="129" t="str">
        <f t="shared" si="33"/>
        <v/>
      </c>
      <c r="E308" s="129" t="str">
        <f>IF(B308="","",IF(B308&lt;='Loan Terms'!$G$10,"Yes","No"))</f>
        <v/>
      </c>
      <c r="F308" s="101" t="str">
        <f>IF(B308="","",IF('Loan Terms'!$C$13="Fixed",'Loan Terms'!$H$17,V308))</f>
        <v/>
      </c>
      <c r="G308" s="12" t="str">
        <f t="shared" si="34"/>
        <v/>
      </c>
      <c r="H308" s="12" t="str">
        <f>IF(G308="","",IF('Loan Terms'!$C$13="Fixed",(E308="Yes")*J308+(E308="No")*'Loan Terms'!$H$19,PMT(F308/12,'Loan Terms'!$G$11-B308+1,-G308)))</f>
        <v/>
      </c>
      <c r="I308" s="12" t="str">
        <f>IF(B308="","",IF(B308='Loan Terms'!$H$9*12,G308,H308-J308))</f>
        <v/>
      </c>
      <c r="J308" s="130" t="str">
        <f>IF(B308="","",IF('Loan Terms'!$H$15="Actual/365",F308*(C308/365),F308*(C308/360))*G308)</f>
        <v/>
      </c>
      <c r="K308" s="12" t="str">
        <f t="shared" si="31"/>
        <v/>
      </c>
      <c r="L308" s="130" t="str">
        <f t="shared" si="35"/>
        <v/>
      </c>
      <c r="N308" s="14" t="str">
        <f t="shared" si="36"/>
        <v/>
      </c>
      <c r="S308" s="217" t="str">
        <f t="shared" si="32"/>
        <v/>
      </c>
      <c r="T308" s="218" t="str">
        <f t="shared" si="30"/>
        <v/>
      </c>
      <c r="U308" s="219" t="str">
        <f>IF(S308="","",'Loan Terms'!$H$14)</f>
        <v/>
      </c>
      <c r="V308" s="220" t="str">
        <f t="shared" si="37"/>
        <v/>
      </c>
    </row>
    <row r="309" spans="2:22" ht="14.25" customHeight="1" x14ac:dyDescent="0.2">
      <c r="B309" s="126" t="str">
        <f>IF(OR(B308="",B308='Loan Terms'!$H$9*12),"",B308+1)</f>
        <v/>
      </c>
      <c r="C309" s="128" t="str">
        <f>IF(B309="","",IF('Loan Terms'!$H$15="30/360",30,D309-D308))</f>
        <v/>
      </c>
      <c r="D309" s="129" t="str">
        <f t="shared" si="33"/>
        <v/>
      </c>
      <c r="E309" s="129" t="str">
        <f>IF(B309="","",IF(B309&lt;='Loan Terms'!$G$10,"Yes","No"))</f>
        <v/>
      </c>
      <c r="F309" s="101" t="str">
        <f>IF(B309="","",IF('Loan Terms'!$C$13="Fixed",'Loan Terms'!$H$17,V309))</f>
        <v/>
      </c>
      <c r="G309" s="12" t="str">
        <f t="shared" si="34"/>
        <v/>
      </c>
      <c r="H309" s="12" t="str">
        <f>IF(G309="","",IF('Loan Terms'!$C$13="Fixed",(E309="Yes")*J309+(E309="No")*'Loan Terms'!$H$19,PMT(F309/12,'Loan Terms'!$G$11-B309+1,-G309)))</f>
        <v/>
      </c>
      <c r="I309" s="12" t="str">
        <f>IF(B309="","",IF(B309='Loan Terms'!$H$9*12,G309,H309-J309))</f>
        <v/>
      </c>
      <c r="J309" s="130" t="str">
        <f>IF(B309="","",IF('Loan Terms'!$H$15="Actual/365",F309*(C309/365),F309*(C309/360))*G309)</f>
        <v/>
      </c>
      <c r="K309" s="12" t="str">
        <f t="shared" si="31"/>
        <v/>
      </c>
      <c r="L309" s="130" t="str">
        <f t="shared" si="35"/>
        <v/>
      </c>
      <c r="N309" s="14" t="str">
        <f t="shared" si="36"/>
        <v/>
      </c>
      <c r="S309" s="217" t="str">
        <f t="shared" si="32"/>
        <v/>
      </c>
      <c r="T309" s="218" t="str">
        <f t="shared" si="30"/>
        <v/>
      </c>
      <c r="U309" s="219" t="str">
        <f>IF(S309="","",'Loan Terms'!$H$14)</f>
        <v/>
      </c>
      <c r="V309" s="220" t="str">
        <f t="shared" si="37"/>
        <v/>
      </c>
    </row>
    <row r="310" spans="2:22" ht="14.25" customHeight="1" x14ac:dyDescent="0.2">
      <c r="B310" s="126" t="str">
        <f>IF(OR(B309="",B309='Loan Terms'!$H$9*12),"",B309+1)</f>
        <v/>
      </c>
      <c r="C310" s="128" t="str">
        <f>IF(B310="","",IF('Loan Terms'!$H$15="30/360",30,D310-D309))</f>
        <v/>
      </c>
      <c r="D310" s="129" t="str">
        <f t="shared" si="33"/>
        <v/>
      </c>
      <c r="E310" s="129" t="str">
        <f>IF(B310="","",IF(B310&lt;='Loan Terms'!$G$10,"Yes","No"))</f>
        <v/>
      </c>
      <c r="F310" s="101" t="str">
        <f>IF(B310="","",IF('Loan Terms'!$C$13="Fixed",'Loan Terms'!$H$17,V310))</f>
        <v/>
      </c>
      <c r="G310" s="12" t="str">
        <f t="shared" si="34"/>
        <v/>
      </c>
      <c r="H310" s="12" t="str">
        <f>IF(G310="","",IF('Loan Terms'!$C$13="Fixed",(E310="Yes")*J310+(E310="No")*'Loan Terms'!$H$19,PMT(F310/12,'Loan Terms'!$G$11-B310+1,-G310)))</f>
        <v/>
      </c>
      <c r="I310" s="12" t="str">
        <f>IF(B310="","",IF(B310='Loan Terms'!$H$9*12,G310,H310-J310))</f>
        <v/>
      </c>
      <c r="J310" s="130" t="str">
        <f>IF(B310="","",IF('Loan Terms'!$H$15="Actual/365",F310*(C310/365),F310*(C310/360))*G310)</f>
        <v/>
      </c>
      <c r="K310" s="12" t="str">
        <f t="shared" si="31"/>
        <v/>
      </c>
      <c r="L310" s="130" t="str">
        <f t="shared" si="35"/>
        <v/>
      </c>
      <c r="N310" s="14" t="str">
        <f t="shared" si="36"/>
        <v/>
      </c>
      <c r="S310" s="217" t="str">
        <f t="shared" si="32"/>
        <v/>
      </c>
      <c r="T310" s="218" t="str">
        <f t="shared" si="30"/>
        <v/>
      </c>
      <c r="U310" s="219" t="str">
        <f>IF(S310="","",'Loan Terms'!$H$14)</f>
        <v/>
      </c>
      <c r="V310" s="220" t="str">
        <f t="shared" si="37"/>
        <v/>
      </c>
    </row>
    <row r="311" spans="2:22" ht="14.25" customHeight="1" x14ac:dyDescent="0.2">
      <c r="B311" s="126" t="str">
        <f>IF(OR(B310="",B310='Loan Terms'!$H$9*12),"",B310+1)</f>
        <v/>
      </c>
      <c r="C311" s="128" t="str">
        <f>IF(B311="","",IF('Loan Terms'!$H$15="30/360",30,D311-D310))</f>
        <v/>
      </c>
      <c r="D311" s="129" t="str">
        <f t="shared" si="33"/>
        <v/>
      </c>
      <c r="E311" s="129" t="str">
        <f>IF(B311="","",IF(B311&lt;='Loan Terms'!$G$10,"Yes","No"))</f>
        <v/>
      </c>
      <c r="F311" s="101" t="str">
        <f>IF(B311="","",IF('Loan Terms'!$C$13="Fixed",'Loan Terms'!$H$17,V311))</f>
        <v/>
      </c>
      <c r="G311" s="12" t="str">
        <f t="shared" si="34"/>
        <v/>
      </c>
      <c r="H311" s="12" t="str">
        <f>IF(G311="","",IF('Loan Terms'!$C$13="Fixed",(E311="Yes")*J311+(E311="No")*'Loan Terms'!$H$19,PMT(F311/12,'Loan Terms'!$G$11-B311+1,-G311)))</f>
        <v/>
      </c>
      <c r="I311" s="12" t="str">
        <f>IF(B311="","",IF(B311='Loan Terms'!$H$9*12,G311,H311-J311))</f>
        <v/>
      </c>
      <c r="J311" s="130" t="str">
        <f>IF(B311="","",IF('Loan Terms'!$H$15="Actual/365",F311*(C311/365),F311*(C311/360))*G311)</f>
        <v/>
      </c>
      <c r="K311" s="12" t="str">
        <f t="shared" si="31"/>
        <v/>
      </c>
      <c r="L311" s="130" t="str">
        <f t="shared" si="35"/>
        <v/>
      </c>
      <c r="N311" s="14" t="str">
        <f t="shared" si="36"/>
        <v/>
      </c>
      <c r="S311" s="217" t="str">
        <f t="shared" si="32"/>
        <v/>
      </c>
      <c r="T311" s="218" t="str">
        <f t="shared" si="30"/>
        <v/>
      </c>
      <c r="U311" s="219" t="str">
        <f>IF(S311="","",'Loan Terms'!$H$14)</f>
        <v/>
      </c>
      <c r="V311" s="220" t="str">
        <f t="shared" si="37"/>
        <v/>
      </c>
    </row>
    <row r="312" spans="2:22" ht="14.25" customHeight="1" x14ac:dyDescent="0.2">
      <c r="B312" s="126" t="str">
        <f>IF(OR(B311="",B311='Loan Terms'!$H$9*12),"",B311+1)</f>
        <v/>
      </c>
      <c r="C312" s="128" t="str">
        <f>IF(B312="","",IF('Loan Terms'!$H$15="30/360",30,D312-D311))</f>
        <v/>
      </c>
      <c r="D312" s="129" t="str">
        <f t="shared" si="33"/>
        <v/>
      </c>
      <c r="E312" s="129" t="str">
        <f>IF(B312="","",IF(B312&lt;='Loan Terms'!$G$10,"Yes","No"))</f>
        <v/>
      </c>
      <c r="F312" s="101" t="str">
        <f>IF(B312="","",IF('Loan Terms'!$C$13="Fixed",'Loan Terms'!$H$17,V312))</f>
        <v/>
      </c>
      <c r="G312" s="12" t="str">
        <f t="shared" si="34"/>
        <v/>
      </c>
      <c r="H312" s="12" t="str">
        <f>IF(G312="","",IF('Loan Terms'!$C$13="Fixed",(E312="Yes")*J312+(E312="No")*'Loan Terms'!$H$19,PMT(F312/12,'Loan Terms'!$G$11-B312+1,-G312)))</f>
        <v/>
      </c>
      <c r="I312" s="12" t="str">
        <f>IF(B312="","",IF(B312='Loan Terms'!$H$9*12,G312,H312-J312))</f>
        <v/>
      </c>
      <c r="J312" s="130" t="str">
        <f>IF(B312="","",IF('Loan Terms'!$H$15="Actual/365",F312*(C312/365),F312*(C312/360))*G312)</f>
        <v/>
      </c>
      <c r="K312" s="12" t="str">
        <f t="shared" si="31"/>
        <v/>
      </c>
      <c r="L312" s="130" t="str">
        <f t="shared" si="35"/>
        <v/>
      </c>
      <c r="N312" s="14" t="str">
        <f t="shared" si="36"/>
        <v/>
      </c>
      <c r="S312" s="217" t="str">
        <f t="shared" si="32"/>
        <v/>
      </c>
      <c r="T312" s="218" t="str">
        <f t="shared" si="30"/>
        <v/>
      </c>
      <c r="U312" s="219" t="str">
        <f>IF(S312="","",'Loan Terms'!$H$14)</f>
        <v/>
      </c>
      <c r="V312" s="220" t="str">
        <f t="shared" si="37"/>
        <v/>
      </c>
    </row>
    <row r="313" spans="2:22" ht="14.25" customHeight="1" x14ac:dyDescent="0.2">
      <c r="B313" s="126" t="str">
        <f>IF(OR(B312="",B312='Loan Terms'!$H$9*12),"",B312+1)</f>
        <v/>
      </c>
      <c r="C313" s="128" t="str">
        <f>IF(B313="","",IF('Loan Terms'!$H$15="30/360",30,D313-D312))</f>
        <v/>
      </c>
      <c r="D313" s="129" t="str">
        <f t="shared" si="33"/>
        <v/>
      </c>
      <c r="E313" s="129" t="str">
        <f>IF(B313="","",IF(B313&lt;='Loan Terms'!$G$10,"Yes","No"))</f>
        <v/>
      </c>
      <c r="F313" s="101" t="str">
        <f>IF(B313="","",IF('Loan Terms'!$C$13="Fixed",'Loan Terms'!$H$17,V313))</f>
        <v/>
      </c>
      <c r="G313" s="12" t="str">
        <f t="shared" si="34"/>
        <v/>
      </c>
      <c r="H313" s="12" t="str">
        <f>IF(G313="","",IF('Loan Terms'!$C$13="Fixed",(E313="Yes")*J313+(E313="No")*'Loan Terms'!$H$19,PMT(F313/12,'Loan Terms'!$G$11-B313+1,-G313)))</f>
        <v/>
      </c>
      <c r="I313" s="12" t="str">
        <f>IF(B313="","",IF(B313='Loan Terms'!$H$9*12,G313,H313-J313))</f>
        <v/>
      </c>
      <c r="J313" s="130" t="str">
        <f>IF(B313="","",IF('Loan Terms'!$H$15="Actual/365",F313*(C313/365),F313*(C313/360))*G313)</f>
        <v/>
      </c>
      <c r="K313" s="12" t="str">
        <f t="shared" si="31"/>
        <v/>
      </c>
      <c r="L313" s="130" t="str">
        <f t="shared" si="35"/>
        <v/>
      </c>
      <c r="N313" s="14" t="str">
        <f t="shared" si="36"/>
        <v/>
      </c>
      <c r="S313" s="217" t="str">
        <f t="shared" si="32"/>
        <v/>
      </c>
      <c r="T313" s="218" t="str">
        <f t="shared" si="30"/>
        <v/>
      </c>
      <c r="U313" s="219" t="str">
        <f>IF(S313="","",'Loan Terms'!$H$14)</f>
        <v/>
      </c>
      <c r="V313" s="220" t="str">
        <f t="shared" si="37"/>
        <v/>
      </c>
    </row>
    <row r="314" spans="2:22" ht="14.25" customHeight="1" x14ac:dyDescent="0.2">
      <c r="B314" s="126" t="str">
        <f>IF(OR(B313="",B313='Loan Terms'!$H$9*12),"",B313+1)</f>
        <v/>
      </c>
      <c r="C314" s="128" t="str">
        <f>IF(B314="","",IF('Loan Terms'!$H$15="30/360",30,D314-D313))</f>
        <v/>
      </c>
      <c r="D314" s="129" t="str">
        <f t="shared" si="33"/>
        <v/>
      </c>
      <c r="E314" s="129" t="str">
        <f>IF(B314="","",IF(B314&lt;='Loan Terms'!$G$10,"Yes","No"))</f>
        <v/>
      </c>
      <c r="F314" s="101" t="str">
        <f>IF(B314="","",IF('Loan Terms'!$C$13="Fixed",'Loan Terms'!$H$17,V314))</f>
        <v/>
      </c>
      <c r="G314" s="12" t="str">
        <f t="shared" si="34"/>
        <v/>
      </c>
      <c r="H314" s="12" t="str">
        <f>IF(G314="","",IF('Loan Terms'!$C$13="Fixed",(E314="Yes")*J314+(E314="No")*'Loan Terms'!$H$19,PMT(F314/12,'Loan Terms'!$G$11-B314+1,-G314)))</f>
        <v/>
      </c>
      <c r="I314" s="12" t="str">
        <f>IF(B314="","",IF(B314='Loan Terms'!$H$9*12,G314,H314-J314))</f>
        <v/>
      </c>
      <c r="J314" s="130" t="str">
        <f>IF(B314="","",IF('Loan Terms'!$H$15="Actual/365",F314*(C314/365),F314*(C314/360))*G314)</f>
        <v/>
      </c>
      <c r="K314" s="12" t="str">
        <f t="shared" si="31"/>
        <v/>
      </c>
      <c r="L314" s="130" t="str">
        <f t="shared" si="35"/>
        <v/>
      </c>
      <c r="N314" s="14" t="str">
        <f t="shared" si="36"/>
        <v/>
      </c>
      <c r="S314" s="217" t="str">
        <f t="shared" si="32"/>
        <v/>
      </c>
      <c r="T314" s="218" t="str">
        <f t="shared" si="30"/>
        <v/>
      </c>
      <c r="U314" s="219" t="str">
        <f>IF(S314="","",'Loan Terms'!$H$14)</f>
        <v/>
      </c>
      <c r="V314" s="220" t="str">
        <f t="shared" si="37"/>
        <v/>
      </c>
    </row>
    <row r="315" spans="2:22" ht="14.25" customHeight="1" x14ac:dyDescent="0.2">
      <c r="B315" s="126" t="str">
        <f>IF(OR(B314="",B314='Loan Terms'!$H$9*12),"",B314+1)</f>
        <v/>
      </c>
      <c r="C315" s="128" t="str">
        <f>IF(B315="","",IF('Loan Terms'!$H$15="30/360",30,D315-D314))</f>
        <v/>
      </c>
      <c r="D315" s="129" t="str">
        <f t="shared" si="33"/>
        <v/>
      </c>
      <c r="E315" s="129" t="str">
        <f>IF(B315="","",IF(B315&lt;='Loan Terms'!$G$10,"Yes","No"))</f>
        <v/>
      </c>
      <c r="F315" s="101" t="str">
        <f>IF(B315="","",IF('Loan Terms'!$C$13="Fixed",'Loan Terms'!$H$17,V315))</f>
        <v/>
      </c>
      <c r="G315" s="12" t="str">
        <f t="shared" si="34"/>
        <v/>
      </c>
      <c r="H315" s="12" t="str">
        <f>IF(G315="","",IF('Loan Terms'!$C$13="Fixed",(E315="Yes")*J315+(E315="No")*'Loan Terms'!$H$19,PMT(F315/12,'Loan Terms'!$G$11-B315+1,-G315)))</f>
        <v/>
      </c>
      <c r="I315" s="12" t="str">
        <f>IF(B315="","",IF(B315='Loan Terms'!$H$9*12,G315,H315-J315))</f>
        <v/>
      </c>
      <c r="J315" s="130" t="str">
        <f>IF(B315="","",IF('Loan Terms'!$H$15="Actual/365",F315*(C315/365),F315*(C315/360))*G315)</f>
        <v/>
      </c>
      <c r="K315" s="12" t="str">
        <f t="shared" si="31"/>
        <v/>
      </c>
      <c r="L315" s="130" t="str">
        <f t="shared" si="35"/>
        <v/>
      </c>
      <c r="N315" s="14" t="str">
        <f t="shared" si="36"/>
        <v/>
      </c>
      <c r="S315" s="217" t="str">
        <f t="shared" si="32"/>
        <v/>
      </c>
      <c r="T315" s="218" t="str">
        <f t="shared" si="30"/>
        <v/>
      </c>
      <c r="U315" s="219" t="str">
        <f>IF(S315="","",'Loan Terms'!$H$14)</f>
        <v/>
      </c>
      <c r="V315" s="220" t="str">
        <f t="shared" si="37"/>
        <v/>
      </c>
    </row>
    <row r="316" spans="2:22" ht="14.25" customHeight="1" x14ac:dyDescent="0.2">
      <c r="B316" s="126" t="str">
        <f>IF(OR(B315="",B315='Loan Terms'!$H$9*12),"",B315+1)</f>
        <v/>
      </c>
      <c r="C316" s="128" t="str">
        <f>IF(B316="","",IF('Loan Terms'!$H$15="30/360",30,D316-D315))</f>
        <v/>
      </c>
      <c r="D316" s="129" t="str">
        <f t="shared" si="33"/>
        <v/>
      </c>
      <c r="E316" s="129" t="str">
        <f>IF(B316="","",IF(B316&lt;='Loan Terms'!$G$10,"Yes","No"))</f>
        <v/>
      </c>
      <c r="F316" s="101" t="str">
        <f>IF(B316="","",IF('Loan Terms'!$C$13="Fixed",'Loan Terms'!$H$17,V316))</f>
        <v/>
      </c>
      <c r="G316" s="12" t="str">
        <f t="shared" si="34"/>
        <v/>
      </c>
      <c r="H316" s="12" t="str">
        <f>IF(G316="","",IF('Loan Terms'!$C$13="Fixed",(E316="Yes")*J316+(E316="No")*'Loan Terms'!$H$19,PMT(F316/12,'Loan Terms'!$G$11-B316+1,-G316)))</f>
        <v/>
      </c>
      <c r="I316" s="12" t="str">
        <f>IF(B316="","",IF(B316='Loan Terms'!$H$9*12,G316,H316-J316))</f>
        <v/>
      </c>
      <c r="J316" s="130" t="str">
        <f>IF(B316="","",IF('Loan Terms'!$H$15="Actual/365",F316*(C316/365),F316*(C316/360))*G316)</f>
        <v/>
      </c>
      <c r="K316" s="12" t="str">
        <f t="shared" si="31"/>
        <v/>
      </c>
      <c r="L316" s="130" t="str">
        <f t="shared" si="35"/>
        <v/>
      </c>
      <c r="N316" s="14" t="str">
        <f t="shared" si="36"/>
        <v/>
      </c>
      <c r="S316" s="217" t="str">
        <f t="shared" si="32"/>
        <v/>
      </c>
      <c r="T316" s="218" t="str">
        <f t="shared" si="30"/>
        <v/>
      </c>
      <c r="U316" s="219" t="str">
        <f>IF(S316="","",'Loan Terms'!$H$14)</f>
        <v/>
      </c>
      <c r="V316" s="220" t="str">
        <f t="shared" si="37"/>
        <v/>
      </c>
    </row>
    <row r="317" spans="2:22" ht="14.25" customHeight="1" x14ac:dyDescent="0.2">
      <c r="B317" s="126" t="str">
        <f>IF(OR(B316="",B316='Loan Terms'!$H$9*12),"",B316+1)</f>
        <v/>
      </c>
      <c r="C317" s="128" t="str">
        <f>IF(B317="","",IF('Loan Terms'!$H$15="30/360",30,D317-D316))</f>
        <v/>
      </c>
      <c r="D317" s="129" t="str">
        <f t="shared" si="33"/>
        <v/>
      </c>
      <c r="E317" s="129" t="str">
        <f>IF(B317="","",IF(B317&lt;='Loan Terms'!$G$10,"Yes","No"))</f>
        <v/>
      </c>
      <c r="F317" s="101" t="str">
        <f>IF(B317="","",IF('Loan Terms'!$C$13="Fixed",'Loan Terms'!$H$17,V317))</f>
        <v/>
      </c>
      <c r="G317" s="12" t="str">
        <f t="shared" si="34"/>
        <v/>
      </c>
      <c r="H317" s="12" t="str">
        <f>IF(G317="","",IF('Loan Terms'!$C$13="Fixed",(E317="Yes")*J317+(E317="No")*'Loan Terms'!$H$19,PMT(F317/12,'Loan Terms'!$G$11-B317+1,-G317)))</f>
        <v/>
      </c>
      <c r="I317" s="12" t="str">
        <f>IF(B317="","",IF(B317='Loan Terms'!$H$9*12,G317,H317-J317))</f>
        <v/>
      </c>
      <c r="J317" s="130" t="str">
        <f>IF(B317="","",IF('Loan Terms'!$H$15="Actual/365",F317*(C317/365),F317*(C317/360))*G317)</f>
        <v/>
      </c>
      <c r="K317" s="12" t="str">
        <f t="shared" si="31"/>
        <v/>
      </c>
      <c r="L317" s="130" t="str">
        <f t="shared" si="35"/>
        <v/>
      </c>
      <c r="N317" s="14" t="str">
        <f t="shared" si="36"/>
        <v/>
      </c>
      <c r="S317" s="217" t="str">
        <f t="shared" si="32"/>
        <v/>
      </c>
      <c r="T317" s="218" t="str">
        <f t="shared" si="30"/>
        <v/>
      </c>
      <c r="U317" s="219" t="str">
        <f>IF(S317="","",'Loan Terms'!$H$14)</f>
        <v/>
      </c>
      <c r="V317" s="220" t="str">
        <f t="shared" si="37"/>
        <v/>
      </c>
    </row>
    <row r="318" spans="2:22" ht="14.25" customHeight="1" x14ac:dyDescent="0.2">
      <c r="B318" s="126" t="str">
        <f>IF(OR(B317="",B317='Loan Terms'!$H$9*12),"",B317+1)</f>
        <v/>
      </c>
      <c r="C318" s="128" t="str">
        <f>IF(B318="","",IF('Loan Terms'!$H$15="30/360",30,D318-D317))</f>
        <v/>
      </c>
      <c r="D318" s="129" t="str">
        <f t="shared" si="33"/>
        <v/>
      </c>
      <c r="E318" s="129" t="str">
        <f>IF(B318="","",IF(B318&lt;='Loan Terms'!$G$10,"Yes","No"))</f>
        <v/>
      </c>
      <c r="F318" s="101" t="str">
        <f>IF(B318="","",IF('Loan Terms'!$C$13="Fixed",'Loan Terms'!$H$17,V318))</f>
        <v/>
      </c>
      <c r="G318" s="12" t="str">
        <f t="shared" si="34"/>
        <v/>
      </c>
      <c r="H318" s="12" t="str">
        <f>IF(G318="","",IF('Loan Terms'!$C$13="Fixed",(E318="Yes")*J318+(E318="No")*'Loan Terms'!$H$19,PMT(F318/12,'Loan Terms'!$G$11-B318+1,-G318)))</f>
        <v/>
      </c>
      <c r="I318" s="12" t="str">
        <f>IF(B318="","",IF(B318='Loan Terms'!$H$9*12,G318,H318-J318))</f>
        <v/>
      </c>
      <c r="J318" s="130" t="str">
        <f>IF(B318="","",IF('Loan Terms'!$H$15="Actual/365",F318*(C318/365),F318*(C318/360))*G318)</f>
        <v/>
      </c>
      <c r="K318" s="12" t="str">
        <f t="shared" si="31"/>
        <v/>
      </c>
      <c r="L318" s="130" t="str">
        <f t="shared" si="35"/>
        <v/>
      </c>
      <c r="N318" s="14" t="str">
        <f t="shared" si="36"/>
        <v/>
      </c>
      <c r="S318" s="217" t="str">
        <f t="shared" si="32"/>
        <v/>
      </c>
      <c r="T318" s="218" t="str">
        <f t="shared" si="30"/>
        <v/>
      </c>
      <c r="U318" s="219" t="str">
        <f>IF(S318="","",'Loan Terms'!$H$14)</f>
        <v/>
      </c>
      <c r="V318" s="220" t="str">
        <f t="shared" si="37"/>
        <v/>
      </c>
    </row>
    <row r="319" spans="2:22" ht="14.25" customHeight="1" x14ac:dyDescent="0.2">
      <c r="B319" s="126" t="str">
        <f>IF(OR(B318="",B318='Loan Terms'!$H$9*12),"",B318+1)</f>
        <v/>
      </c>
      <c r="C319" s="128" t="str">
        <f>IF(B319="","",IF('Loan Terms'!$H$15="30/360",30,D319-D318))</f>
        <v/>
      </c>
      <c r="D319" s="129" t="str">
        <f t="shared" si="33"/>
        <v/>
      </c>
      <c r="E319" s="129" t="str">
        <f>IF(B319="","",IF(B319&lt;='Loan Terms'!$G$10,"Yes","No"))</f>
        <v/>
      </c>
      <c r="F319" s="101" t="str">
        <f>IF(B319="","",IF('Loan Terms'!$C$13="Fixed",'Loan Terms'!$H$17,V319))</f>
        <v/>
      </c>
      <c r="G319" s="12" t="str">
        <f t="shared" si="34"/>
        <v/>
      </c>
      <c r="H319" s="12" t="str">
        <f>IF(G319="","",IF('Loan Terms'!$C$13="Fixed",(E319="Yes")*J319+(E319="No")*'Loan Terms'!$H$19,PMT(F319/12,'Loan Terms'!$G$11-B319+1,-G319)))</f>
        <v/>
      </c>
      <c r="I319" s="12" t="str">
        <f>IF(B319="","",IF(B319='Loan Terms'!$H$9*12,G319,H319-J319))</f>
        <v/>
      </c>
      <c r="J319" s="130" t="str">
        <f>IF(B319="","",IF('Loan Terms'!$H$15="Actual/365",F319*(C319/365),F319*(C319/360))*G319)</f>
        <v/>
      </c>
      <c r="K319" s="12" t="str">
        <f t="shared" si="31"/>
        <v/>
      </c>
      <c r="L319" s="130" t="str">
        <f t="shared" si="35"/>
        <v/>
      </c>
      <c r="N319" s="14" t="str">
        <f t="shared" si="36"/>
        <v/>
      </c>
      <c r="S319" s="217" t="str">
        <f t="shared" si="32"/>
        <v/>
      </c>
      <c r="T319" s="218" t="str">
        <f t="shared" ref="T319:T382" si="38">IF(S319="","",T318)</f>
        <v/>
      </c>
      <c r="U319" s="219" t="str">
        <f>IF(S319="","",'Loan Terms'!$H$14)</f>
        <v/>
      </c>
      <c r="V319" s="220" t="str">
        <f t="shared" si="37"/>
        <v/>
      </c>
    </row>
    <row r="320" spans="2:22" ht="14.25" customHeight="1" x14ac:dyDescent="0.2">
      <c r="B320" s="126" t="str">
        <f>IF(OR(B319="",B319='Loan Terms'!$H$9*12),"",B319+1)</f>
        <v/>
      </c>
      <c r="C320" s="128" t="str">
        <f>IF(B320="","",IF('Loan Terms'!$H$15="30/360",30,D320-D319))</f>
        <v/>
      </c>
      <c r="D320" s="129" t="str">
        <f t="shared" si="33"/>
        <v/>
      </c>
      <c r="E320" s="129" t="str">
        <f>IF(B320="","",IF(B320&lt;='Loan Terms'!$G$10,"Yes","No"))</f>
        <v/>
      </c>
      <c r="F320" s="101" t="str">
        <f>IF(B320="","",IF('Loan Terms'!$C$13="Fixed",'Loan Terms'!$H$17,V320))</f>
        <v/>
      </c>
      <c r="G320" s="12" t="str">
        <f t="shared" si="34"/>
        <v/>
      </c>
      <c r="H320" s="12" t="str">
        <f>IF(G320="","",IF('Loan Terms'!$C$13="Fixed",(E320="Yes")*J320+(E320="No")*'Loan Terms'!$H$19,PMT(F320/12,'Loan Terms'!$G$11-B320+1,-G320)))</f>
        <v/>
      </c>
      <c r="I320" s="12" t="str">
        <f>IF(B320="","",IF(B320='Loan Terms'!$H$9*12,G320,H320-J320))</f>
        <v/>
      </c>
      <c r="J320" s="130" t="str">
        <f>IF(B320="","",IF('Loan Terms'!$H$15="Actual/365",F320*(C320/365),F320*(C320/360))*G320)</f>
        <v/>
      </c>
      <c r="K320" s="12" t="str">
        <f t="shared" si="31"/>
        <v/>
      </c>
      <c r="L320" s="130" t="str">
        <f t="shared" si="35"/>
        <v/>
      </c>
      <c r="N320" s="14" t="str">
        <f t="shared" si="36"/>
        <v/>
      </c>
      <c r="S320" s="217" t="str">
        <f t="shared" si="32"/>
        <v/>
      </c>
      <c r="T320" s="218" t="str">
        <f t="shared" si="38"/>
        <v/>
      </c>
      <c r="U320" s="219" t="str">
        <f>IF(S320="","",'Loan Terms'!$H$14)</f>
        <v/>
      </c>
      <c r="V320" s="220" t="str">
        <f t="shared" si="37"/>
        <v/>
      </c>
    </row>
    <row r="321" spans="2:22" ht="14.25" customHeight="1" x14ac:dyDescent="0.2">
      <c r="B321" s="126" t="str">
        <f>IF(OR(B320="",B320='Loan Terms'!$H$9*12),"",B320+1)</f>
        <v/>
      </c>
      <c r="C321" s="128" t="str">
        <f>IF(B321="","",IF('Loan Terms'!$H$15="30/360",30,D321-D320))</f>
        <v/>
      </c>
      <c r="D321" s="129" t="str">
        <f t="shared" si="33"/>
        <v/>
      </c>
      <c r="E321" s="129" t="str">
        <f>IF(B321="","",IF(B321&lt;='Loan Terms'!$G$10,"Yes","No"))</f>
        <v/>
      </c>
      <c r="F321" s="101" t="str">
        <f>IF(B321="","",IF('Loan Terms'!$C$13="Fixed",'Loan Terms'!$H$17,V321))</f>
        <v/>
      </c>
      <c r="G321" s="12" t="str">
        <f t="shared" si="34"/>
        <v/>
      </c>
      <c r="H321" s="12" t="str">
        <f>IF(G321="","",IF('Loan Terms'!$C$13="Fixed",(E321="Yes")*J321+(E321="No")*'Loan Terms'!$H$19,PMT(F321/12,'Loan Terms'!$G$11-B321+1,-G321)))</f>
        <v/>
      </c>
      <c r="I321" s="12" t="str">
        <f>IF(B321="","",IF(B321='Loan Terms'!$H$9*12,G321,H321-J321))</f>
        <v/>
      </c>
      <c r="J321" s="130" t="str">
        <f>IF(B321="","",IF('Loan Terms'!$H$15="Actual/365",F321*(C321/365),F321*(C321/360))*G321)</f>
        <v/>
      </c>
      <c r="K321" s="12" t="str">
        <f t="shared" si="31"/>
        <v/>
      </c>
      <c r="L321" s="130" t="str">
        <f t="shared" si="35"/>
        <v/>
      </c>
      <c r="N321" s="14" t="str">
        <f t="shared" si="36"/>
        <v/>
      </c>
      <c r="S321" s="217" t="str">
        <f t="shared" si="32"/>
        <v/>
      </c>
      <c r="T321" s="218" t="str">
        <f t="shared" si="38"/>
        <v/>
      </c>
      <c r="U321" s="219" t="str">
        <f>IF(S321="","",'Loan Terms'!$H$14)</f>
        <v/>
      </c>
      <c r="V321" s="220" t="str">
        <f t="shared" si="37"/>
        <v/>
      </c>
    </row>
    <row r="322" spans="2:22" ht="14.25" customHeight="1" x14ac:dyDescent="0.2">
      <c r="B322" s="126" t="str">
        <f>IF(OR(B321="",B321='Loan Terms'!$H$9*12),"",B321+1)</f>
        <v/>
      </c>
      <c r="C322" s="128" t="str">
        <f>IF(B322="","",IF('Loan Terms'!$H$15="30/360",30,D322-D321))</f>
        <v/>
      </c>
      <c r="D322" s="129" t="str">
        <f t="shared" si="33"/>
        <v/>
      </c>
      <c r="E322" s="129" t="str">
        <f>IF(B322="","",IF(B322&lt;='Loan Terms'!$G$10,"Yes","No"))</f>
        <v/>
      </c>
      <c r="F322" s="101" t="str">
        <f>IF(B322="","",IF('Loan Terms'!$C$13="Fixed",'Loan Terms'!$H$17,V322))</f>
        <v/>
      </c>
      <c r="G322" s="12" t="str">
        <f t="shared" si="34"/>
        <v/>
      </c>
      <c r="H322" s="12" t="str">
        <f>IF(G322="","",IF('Loan Terms'!$C$13="Fixed",(E322="Yes")*J322+(E322="No")*'Loan Terms'!$H$19,PMT(F322/12,'Loan Terms'!$G$11-B322+1,-G322)))</f>
        <v/>
      </c>
      <c r="I322" s="12" t="str">
        <f>IF(B322="","",IF(B322='Loan Terms'!$H$9*12,G322,H322-J322))</f>
        <v/>
      </c>
      <c r="J322" s="130" t="str">
        <f>IF(B322="","",IF('Loan Terms'!$H$15="Actual/365",F322*(C322/365),F322*(C322/360))*G322)</f>
        <v/>
      </c>
      <c r="K322" s="12" t="str">
        <f t="shared" si="31"/>
        <v/>
      </c>
      <c r="L322" s="130" t="str">
        <f t="shared" si="35"/>
        <v/>
      </c>
      <c r="N322" s="14" t="str">
        <f t="shared" si="36"/>
        <v/>
      </c>
      <c r="S322" s="217" t="str">
        <f t="shared" si="32"/>
        <v/>
      </c>
      <c r="T322" s="218" t="str">
        <f t="shared" si="38"/>
        <v/>
      </c>
      <c r="U322" s="219" t="str">
        <f>IF(S322="","",'Loan Terms'!$H$14)</f>
        <v/>
      </c>
      <c r="V322" s="220" t="str">
        <f t="shared" si="37"/>
        <v/>
      </c>
    </row>
    <row r="323" spans="2:22" ht="14.25" customHeight="1" x14ac:dyDescent="0.2">
      <c r="B323" s="126" t="str">
        <f>IF(OR(B322="",B322='Loan Terms'!$H$9*12),"",B322+1)</f>
        <v/>
      </c>
      <c r="C323" s="128" t="str">
        <f>IF(B323="","",IF('Loan Terms'!$H$15="30/360",30,D323-D322))</f>
        <v/>
      </c>
      <c r="D323" s="129" t="str">
        <f t="shared" si="33"/>
        <v/>
      </c>
      <c r="E323" s="129" t="str">
        <f>IF(B323="","",IF(B323&lt;='Loan Terms'!$G$10,"Yes","No"))</f>
        <v/>
      </c>
      <c r="F323" s="101" t="str">
        <f>IF(B323="","",IF('Loan Terms'!$C$13="Fixed",'Loan Terms'!$H$17,V323))</f>
        <v/>
      </c>
      <c r="G323" s="12" t="str">
        <f t="shared" si="34"/>
        <v/>
      </c>
      <c r="H323" s="12" t="str">
        <f>IF(G323="","",IF('Loan Terms'!$C$13="Fixed",(E323="Yes")*J323+(E323="No")*'Loan Terms'!$H$19,PMT(F323/12,'Loan Terms'!$G$11-B323+1,-G323)))</f>
        <v/>
      </c>
      <c r="I323" s="12" t="str">
        <f>IF(B323="","",IF(B323='Loan Terms'!$H$9*12,G323,H323-J323))</f>
        <v/>
      </c>
      <c r="J323" s="130" t="str">
        <f>IF(B323="","",IF('Loan Terms'!$H$15="Actual/365",F323*(C323/365),F323*(C323/360))*G323)</f>
        <v/>
      </c>
      <c r="K323" s="12" t="str">
        <f t="shared" si="31"/>
        <v/>
      </c>
      <c r="L323" s="130" t="str">
        <f t="shared" si="35"/>
        <v/>
      </c>
      <c r="N323" s="14" t="str">
        <f t="shared" si="36"/>
        <v/>
      </c>
      <c r="S323" s="217" t="str">
        <f t="shared" si="32"/>
        <v/>
      </c>
      <c r="T323" s="218" t="str">
        <f t="shared" si="38"/>
        <v/>
      </c>
      <c r="U323" s="219" t="str">
        <f>IF(S323="","",'Loan Terms'!$H$14)</f>
        <v/>
      </c>
      <c r="V323" s="220" t="str">
        <f t="shared" si="37"/>
        <v/>
      </c>
    </row>
    <row r="324" spans="2:22" ht="14.25" customHeight="1" x14ac:dyDescent="0.2">
      <c r="B324" s="126" t="str">
        <f>IF(OR(B323="",B323='Loan Terms'!$H$9*12),"",B323+1)</f>
        <v/>
      </c>
      <c r="C324" s="128" t="str">
        <f>IF(B324="","",IF('Loan Terms'!$H$15="30/360",30,D324-D323))</f>
        <v/>
      </c>
      <c r="D324" s="129" t="str">
        <f t="shared" si="33"/>
        <v/>
      </c>
      <c r="E324" s="129" t="str">
        <f>IF(B324="","",IF(B324&lt;='Loan Terms'!$G$10,"Yes","No"))</f>
        <v/>
      </c>
      <c r="F324" s="101" t="str">
        <f>IF(B324="","",IF('Loan Terms'!$C$13="Fixed",'Loan Terms'!$H$17,V324))</f>
        <v/>
      </c>
      <c r="G324" s="12" t="str">
        <f t="shared" si="34"/>
        <v/>
      </c>
      <c r="H324" s="12" t="str">
        <f>IF(G324="","",IF('Loan Terms'!$C$13="Fixed",(E324="Yes")*J324+(E324="No")*'Loan Terms'!$H$19,PMT(F324/12,'Loan Terms'!$G$11-B324+1,-G324)))</f>
        <v/>
      </c>
      <c r="I324" s="12" t="str">
        <f>IF(B324="","",IF(B324='Loan Terms'!$H$9*12,G324,H324-J324))</f>
        <v/>
      </c>
      <c r="J324" s="130" t="str">
        <f>IF(B324="","",IF('Loan Terms'!$H$15="Actual/365",F324*(C324/365),F324*(C324/360))*G324)</f>
        <v/>
      </c>
      <c r="K324" s="12" t="str">
        <f t="shared" si="31"/>
        <v/>
      </c>
      <c r="L324" s="130" t="str">
        <f t="shared" si="35"/>
        <v/>
      </c>
      <c r="N324" s="14" t="str">
        <f t="shared" si="36"/>
        <v/>
      </c>
      <c r="S324" s="217" t="str">
        <f t="shared" si="32"/>
        <v/>
      </c>
      <c r="T324" s="218" t="str">
        <f t="shared" si="38"/>
        <v/>
      </c>
      <c r="U324" s="219" t="str">
        <f>IF(S324="","",'Loan Terms'!$H$14)</f>
        <v/>
      </c>
      <c r="V324" s="220" t="str">
        <f t="shared" si="37"/>
        <v/>
      </c>
    </row>
    <row r="325" spans="2:22" ht="14.25" customHeight="1" x14ac:dyDescent="0.2">
      <c r="B325" s="126" t="str">
        <f>IF(OR(B324="",B324='Loan Terms'!$H$9*12),"",B324+1)</f>
        <v/>
      </c>
      <c r="C325" s="128" t="str">
        <f>IF(B325="","",IF('Loan Terms'!$H$15="30/360",30,D325-D324))</f>
        <v/>
      </c>
      <c r="D325" s="129" t="str">
        <f t="shared" si="33"/>
        <v/>
      </c>
      <c r="E325" s="129" t="str">
        <f>IF(B325="","",IF(B325&lt;='Loan Terms'!$G$10,"Yes","No"))</f>
        <v/>
      </c>
      <c r="F325" s="101" t="str">
        <f>IF(B325="","",IF('Loan Terms'!$C$13="Fixed",'Loan Terms'!$H$17,V325))</f>
        <v/>
      </c>
      <c r="G325" s="12" t="str">
        <f t="shared" si="34"/>
        <v/>
      </c>
      <c r="H325" s="12" t="str">
        <f>IF(G325="","",IF('Loan Terms'!$C$13="Fixed",(E325="Yes")*J325+(E325="No")*'Loan Terms'!$H$19,PMT(F325/12,'Loan Terms'!$G$11-B325+1,-G325)))</f>
        <v/>
      </c>
      <c r="I325" s="12" t="str">
        <f>IF(B325="","",IF(B325='Loan Terms'!$H$9*12,G325,H325-J325))</f>
        <v/>
      </c>
      <c r="J325" s="130" t="str">
        <f>IF(B325="","",IF('Loan Terms'!$H$15="Actual/365",F325*(C325/365),F325*(C325/360))*G325)</f>
        <v/>
      </c>
      <c r="K325" s="12" t="str">
        <f t="shared" si="31"/>
        <v/>
      </c>
      <c r="L325" s="130" t="str">
        <f t="shared" si="35"/>
        <v/>
      </c>
      <c r="N325" s="14" t="str">
        <f t="shared" si="36"/>
        <v/>
      </c>
      <c r="S325" s="217" t="str">
        <f t="shared" si="32"/>
        <v/>
      </c>
      <c r="T325" s="218" t="str">
        <f t="shared" si="38"/>
        <v/>
      </c>
      <c r="U325" s="219" t="str">
        <f>IF(S325="","",'Loan Terms'!$H$14)</f>
        <v/>
      </c>
      <c r="V325" s="220" t="str">
        <f t="shared" si="37"/>
        <v/>
      </c>
    </row>
    <row r="326" spans="2:22" ht="14.25" customHeight="1" x14ac:dyDescent="0.2">
      <c r="B326" s="126" t="str">
        <f>IF(OR(B325="",B325='Loan Terms'!$H$9*12),"",B325+1)</f>
        <v/>
      </c>
      <c r="C326" s="128" t="str">
        <f>IF(B326="","",IF('Loan Terms'!$H$15="30/360",30,D326-D325))</f>
        <v/>
      </c>
      <c r="D326" s="129" t="str">
        <f t="shared" si="33"/>
        <v/>
      </c>
      <c r="E326" s="129" t="str">
        <f>IF(B326="","",IF(B326&lt;='Loan Terms'!$G$10,"Yes","No"))</f>
        <v/>
      </c>
      <c r="F326" s="101" t="str">
        <f>IF(B326="","",IF('Loan Terms'!$C$13="Fixed",'Loan Terms'!$H$17,V326))</f>
        <v/>
      </c>
      <c r="G326" s="12" t="str">
        <f t="shared" si="34"/>
        <v/>
      </c>
      <c r="H326" s="12" t="str">
        <f>IF(G326="","",IF('Loan Terms'!$C$13="Fixed",(E326="Yes")*J326+(E326="No")*'Loan Terms'!$H$19,PMT(F326/12,'Loan Terms'!$G$11-B326+1,-G326)))</f>
        <v/>
      </c>
      <c r="I326" s="12" t="str">
        <f>IF(B326="","",IF(B326='Loan Terms'!$H$9*12,G326,H326-J326))</f>
        <v/>
      </c>
      <c r="J326" s="130" t="str">
        <f>IF(B326="","",IF('Loan Terms'!$H$15="Actual/365",F326*(C326/365),F326*(C326/360))*G326)</f>
        <v/>
      </c>
      <c r="K326" s="12" t="str">
        <f t="shared" ref="K326:K389" si="39">IF(B326="","",G326-I326)</f>
        <v/>
      </c>
      <c r="L326" s="130" t="str">
        <f t="shared" si="35"/>
        <v/>
      </c>
      <c r="N326" s="14" t="str">
        <f t="shared" si="36"/>
        <v/>
      </c>
      <c r="S326" s="217" t="str">
        <f t="shared" ref="S326:S389" si="40">D326</f>
        <v/>
      </c>
      <c r="T326" s="218" t="str">
        <f t="shared" si="38"/>
        <v/>
      </c>
      <c r="U326" s="219" t="str">
        <f>IF(S326="","",'Loan Terms'!$H$14)</f>
        <v/>
      </c>
      <c r="V326" s="220" t="str">
        <f t="shared" si="37"/>
        <v/>
      </c>
    </row>
    <row r="327" spans="2:22" ht="14.25" customHeight="1" x14ac:dyDescent="0.2">
      <c r="B327" s="126" t="str">
        <f>IF(OR(B326="",B326='Loan Terms'!$H$9*12),"",B326+1)</f>
        <v/>
      </c>
      <c r="C327" s="128" t="str">
        <f>IF(B327="","",IF('Loan Terms'!$H$15="30/360",30,D327-D326))</f>
        <v/>
      </c>
      <c r="D327" s="129" t="str">
        <f t="shared" ref="D327:D390" si="41">IF(B327="","",EDATE(D326,1))</f>
        <v/>
      </c>
      <c r="E327" s="129" t="str">
        <f>IF(B327="","",IF(B327&lt;='Loan Terms'!$G$10,"Yes","No"))</f>
        <v/>
      </c>
      <c r="F327" s="101" t="str">
        <f>IF(B327="","",IF('Loan Terms'!$C$13="Fixed",'Loan Terms'!$H$17,V327))</f>
        <v/>
      </c>
      <c r="G327" s="12" t="str">
        <f t="shared" ref="G327:G390" si="42">IF(B327="","",K326)</f>
        <v/>
      </c>
      <c r="H327" s="12" t="str">
        <f>IF(G327="","",IF('Loan Terms'!$C$13="Fixed",(E327="Yes")*J327+(E327="No")*'Loan Terms'!$H$19,PMT(F327/12,'Loan Terms'!$G$11-B327+1,-G327)))</f>
        <v/>
      </c>
      <c r="I327" s="12" t="str">
        <f>IF(B327="","",IF(B327='Loan Terms'!$H$9*12,G327,H327-J327))</f>
        <v/>
      </c>
      <c r="J327" s="130" t="str">
        <f>IF(B327="","",IF('Loan Terms'!$H$15="Actual/365",F327*(C327/365),F327*(C327/360))*G327)</f>
        <v/>
      </c>
      <c r="K327" s="12" t="str">
        <f t="shared" si="39"/>
        <v/>
      </c>
      <c r="L327" s="130" t="str">
        <f t="shared" ref="L327:L390" si="43">IF(B327="","",J327+I327)</f>
        <v/>
      </c>
      <c r="N327" s="14" t="str">
        <f t="shared" ref="N327:N390" si="44">IF(B327="","",I327*B327)</f>
        <v/>
      </c>
      <c r="S327" s="217" t="str">
        <f t="shared" si="40"/>
        <v/>
      </c>
      <c r="T327" s="218" t="str">
        <f t="shared" si="38"/>
        <v/>
      </c>
      <c r="U327" s="219" t="str">
        <f>IF(S327="","",'Loan Terms'!$H$14)</f>
        <v/>
      </c>
      <c r="V327" s="220" t="str">
        <f t="shared" ref="V327:V390" si="45">IF(S327="","",T327+U327/10000)</f>
        <v/>
      </c>
    </row>
    <row r="328" spans="2:22" ht="14.25" customHeight="1" x14ac:dyDescent="0.2">
      <c r="B328" s="126" t="str">
        <f>IF(OR(B327="",B327='Loan Terms'!$H$9*12),"",B327+1)</f>
        <v/>
      </c>
      <c r="C328" s="128" t="str">
        <f>IF(B328="","",IF('Loan Terms'!$H$15="30/360",30,D328-D327))</f>
        <v/>
      </c>
      <c r="D328" s="129" t="str">
        <f t="shared" si="41"/>
        <v/>
      </c>
      <c r="E328" s="129" t="str">
        <f>IF(B328="","",IF(B328&lt;='Loan Terms'!$G$10,"Yes","No"))</f>
        <v/>
      </c>
      <c r="F328" s="101" t="str">
        <f>IF(B328="","",IF('Loan Terms'!$C$13="Fixed",'Loan Terms'!$H$17,V328))</f>
        <v/>
      </c>
      <c r="G328" s="12" t="str">
        <f t="shared" si="42"/>
        <v/>
      </c>
      <c r="H328" s="12" t="str">
        <f>IF(G328="","",IF('Loan Terms'!$C$13="Fixed",(E328="Yes")*J328+(E328="No")*'Loan Terms'!$H$19,PMT(F328/12,'Loan Terms'!$G$11-B328+1,-G328)))</f>
        <v/>
      </c>
      <c r="I328" s="12" t="str">
        <f>IF(B328="","",IF(B328='Loan Terms'!$H$9*12,G328,H328-J328))</f>
        <v/>
      </c>
      <c r="J328" s="130" t="str">
        <f>IF(B328="","",IF('Loan Terms'!$H$15="Actual/365",F328*(C328/365),F328*(C328/360))*G328)</f>
        <v/>
      </c>
      <c r="K328" s="12" t="str">
        <f t="shared" si="39"/>
        <v/>
      </c>
      <c r="L328" s="130" t="str">
        <f t="shared" si="43"/>
        <v/>
      </c>
      <c r="N328" s="14" t="str">
        <f t="shared" si="44"/>
        <v/>
      </c>
      <c r="S328" s="217" t="str">
        <f t="shared" si="40"/>
        <v/>
      </c>
      <c r="T328" s="218" t="str">
        <f t="shared" si="38"/>
        <v/>
      </c>
      <c r="U328" s="219" t="str">
        <f>IF(S328="","",'Loan Terms'!$H$14)</f>
        <v/>
      </c>
      <c r="V328" s="220" t="str">
        <f t="shared" si="45"/>
        <v/>
      </c>
    </row>
    <row r="329" spans="2:22" ht="14.25" customHeight="1" x14ac:dyDescent="0.2">
      <c r="B329" s="126" t="str">
        <f>IF(OR(B328="",B328='Loan Terms'!$H$9*12),"",B328+1)</f>
        <v/>
      </c>
      <c r="C329" s="128" t="str">
        <f>IF(B329="","",IF('Loan Terms'!$H$15="30/360",30,D329-D328))</f>
        <v/>
      </c>
      <c r="D329" s="129" t="str">
        <f t="shared" si="41"/>
        <v/>
      </c>
      <c r="E329" s="129" t="str">
        <f>IF(B329="","",IF(B329&lt;='Loan Terms'!$G$10,"Yes","No"))</f>
        <v/>
      </c>
      <c r="F329" s="101" t="str">
        <f>IF(B329="","",IF('Loan Terms'!$C$13="Fixed",'Loan Terms'!$H$17,V329))</f>
        <v/>
      </c>
      <c r="G329" s="12" t="str">
        <f t="shared" si="42"/>
        <v/>
      </c>
      <c r="H329" s="12" t="str">
        <f>IF(G329="","",IF('Loan Terms'!$C$13="Fixed",(E329="Yes")*J329+(E329="No")*'Loan Terms'!$H$19,PMT(F329/12,'Loan Terms'!$G$11-B329+1,-G329)))</f>
        <v/>
      </c>
      <c r="I329" s="12" t="str">
        <f>IF(B329="","",IF(B329='Loan Terms'!$H$9*12,G329,H329-J329))</f>
        <v/>
      </c>
      <c r="J329" s="130" t="str">
        <f>IF(B329="","",IF('Loan Terms'!$H$15="Actual/365",F329*(C329/365),F329*(C329/360))*G329)</f>
        <v/>
      </c>
      <c r="K329" s="12" t="str">
        <f t="shared" si="39"/>
        <v/>
      </c>
      <c r="L329" s="130" t="str">
        <f t="shared" si="43"/>
        <v/>
      </c>
      <c r="N329" s="14" t="str">
        <f t="shared" si="44"/>
        <v/>
      </c>
      <c r="S329" s="217" t="str">
        <f t="shared" si="40"/>
        <v/>
      </c>
      <c r="T329" s="218" t="str">
        <f t="shared" si="38"/>
        <v/>
      </c>
      <c r="U329" s="219" t="str">
        <f>IF(S329="","",'Loan Terms'!$H$14)</f>
        <v/>
      </c>
      <c r="V329" s="220" t="str">
        <f t="shared" si="45"/>
        <v/>
      </c>
    </row>
    <row r="330" spans="2:22" ht="14.25" customHeight="1" x14ac:dyDescent="0.2">
      <c r="B330" s="126" t="str">
        <f>IF(OR(B329="",B329='Loan Terms'!$H$9*12),"",B329+1)</f>
        <v/>
      </c>
      <c r="C330" s="128" t="str">
        <f>IF(B330="","",IF('Loan Terms'!$H$15="30/360",30,D330-D329))</f>
        <v/>
      </c>
      <c r="D330" s="129" t="str">
        <f t="shared" si="41"/>
        <v/>
      </c>
      <c r="E330" s="129" t="str">
        <f>IF(B330="","",IF(B330&lt;='Loan Terms'!$G$10,"Yes","No"))</f>
        <v/>
      </c>
      <c r="F330" s="101" t="str">
        <f>IF(B330="","",IF('Loan Terms'!$C$13="Fixed",'Loan Terms'!$H$17,V330))</f>
        <v/>
      </c>
      <c r="G330" s="12" t="str">
        <f t="shared" si="42"/>
        <v/>
      </c>
      <c r="H330" s="12" t="str">
        <f>IF(G330="","",IF('Loan Terms'!$C$13="Fixed",(E330="Yes")*J330+(E330="No")*'Loan Terms'!$H$19,PMT(F330/12,'Loan Terms'!$G$11-B330+1,-G330)))</f>
        <v/>
      </c>
      <c r="I330" s="12" t="str">
        <f>IF(B330="","",IF(B330='Loan Terms'!$H$9*12,G330,H330-J330))</f>
        <v/>
      </c>
      <c r="J330" s="130" t="str">
        <f>IF(B330="","",IF('Loan Terms'!$H$15="Actual/365",F330*(C330/365),F330*(C330/360))*G330)</f>
        <v/>
      </c>
      <c r="K330" s="12" t="str">
        <f t="shared" si="39"/>
        <v/>
      </c>
      <c r="L330" s="130" t="str">
        <f t="shared" si="43"/>
        <v/>
      </c>
      <c r="N330" s="14" t="str">
        <f t="shared" si="44"/>
        <v/>
      </c>
      <c r="S330" s="217" t="str">
        <f t="shared" si="40"/>
        <v/>
      </c>
      <c r="T330" s="218" t="str">
        <f t="shared" si="38"/>
        <v/>
      </c>
      <c r="U330" s="219" t="str">
        <f>IF(S330="","",'Loan Terms'!$H$14)</f>
        <v/>
      </c>
      <c r="V330" s="220" t="str">
        <f t="shared" si="45"/>
        <v/>
      </c>
    </row>
    <row r="331" spans="2:22" ht="14.25" customHeight="1" x14ac:dyDescent="0.2">
      <c r="B331" s="126" t="str">
        <f>IF(OR(B330="",B330='Loan Terms'!$H$9*12),"",B330+1)</f>
        <v/>
      </c>
      <c r="C331" s="128" t="str">
        <f>IF(B331="","",IF('Loan Terms'!$H$15="30/360",30,D331-D330))</f>
        <v/>
      </c>
      <c r="D331" s="129" t="str">
        <f t="shared" si="41"/>
        <v/>
      </c>
      <c r="E331" s="129" t="str">
        <f>IF(B331="","",IF(B331&lt;='Loan Terms'!$G$10,"Yes","No"))</f>
        <v/>
      </c>
      <c r="F331" s="101" t="str">
        <f>IF(B331="","",IF('Loan Terms'!$C$13="Fixed",'Loan Terms'!$H$17,V331))</f>
        <v/>
      </c>
      <c r="G331" s="12" t="str">
        <f t="shared" si="42"/>
        <v/>
      </c>
      <c r="H331" s="12" t="str">
        <f>IF(G331="","",IF('Loan Terms'!$C$13="Fixed",(E331="Yes")*J331+(E331="No")*'Loan Terms'!$H$19,PMT(F331/12,'Loan Terms'!$G$11-B331+1,-G331)))</f>
        <v/>
      </c>
      <c r="I331" s="12" t="str">
        <f>IF(B331="","",IF(B331='Loan Terms'!$H$9*12,G331,H331-J331))</f>
        <v/>
      </c>
      <c r="J331" s="130" t="str">
        <f>IF(B331="","",IF('Loan Terms'!$H$15="Actual/365",F331*(C331/365),F331*(C331/360))*G331)</f>
        <v/>
      </c>
      <c r="K331" s="12" t="str">
        <f t="shared" si="39"/>
        <v/>
      </c>
      <c r="L331" s="130" t="str">
        <f t="shared" si="43"/>
        <v/>
      </c>
      <c r="N331" s="14" t="str">
        <f t="shared" si="44"/>
        <v/>
      </c>
      <c r="S331" s="217" t="str">
        <f t="shared" si="40"/>
        <v/>
      </c>
      <c r="T331" s="218" t="str">
        <f t="shared" si="38"/>
        <v/>
      </c>
      <c r="U331" s="219" t="str">
        <f>IF(S331="","",'Loan Terms'!$H$14)</f>
        <v/>
      </c>
      <c r="V331" s="220" t="str">
        <f t="shared" si="45"/>
        <v/>
      </c>
    </row>
    <row r="332" spans="2:22" ht="14.25" customHeight="1" x14ac:dyDescent="0.2">
      <c r="B332" s="126" t="str">
        <f>IF(OR(B331="",B331='Loan Terms'!$H$9*12),"",B331+1)</f>
        <v/>
      </c>
      <c r="C332" s="128" t="str">
        <f>IF(B332="","",IF('Loan Terms'!$H$15="30/360",30,D332-D331))</f>
        <v/>
      </c>
      <c r="D332" s="129" t="str">
        <f t="shared" si="41"/>
        <v/>
      </c>
      <c r="E332" s="129" t="str">
        <f>IF(B332="","",IF(B332&lt;='Loan Terms'!$G$10,"Yes","No"))</f>
        <v/>
      </c>
      <c r="F332" s="101" t="str">
        <f>IF(B332="","",IF('Loan Terms'!$C$13="Fixed",'Loan Terms'!$H$17,V332))</f>
        <v/>
      </c>
      <c r="G332" s="12" t="str">
        <f t="shared" si="42"/>
        <v/>
      </c>
      <c r="H332" s="12" t="str">
        <f>IF(G332="","",IF('Loan Terms'!$C$13="Fixed",(E332="Yes")*J332+(E332="No")*'Loan Terms'!$H$19,PMT(F332/12,'Loan Terms'!$G$11-B332+1,-G332)))</f>
        <v/>
      </c>
      <c r="I332" s="12" t="str">
        <f>IF(B332="","",IF(B332='Loan Terms'!$H$9*12,G332,H332-J332))</f>
        <v/>
      </c>
      <c r="J332" s="130" t="str">
        <f>IF(B332="","",IF('Loan Terms'!$H$15="Actual/365",F332*(C332/365),F332*(C332/360))*G332)</f>
        <v/>
      </c>
      <c r="K332" s="12" t="str">
        <f t="shared" si="39"/>
        <v/>
      </c>
      <c r="L332" s="130" t="str">
        <f t="shared" si="43"/>
        <v/>
      </c>
      <c r="N332" s="14" t="str">
        <f t="shared" si="44"/>
        <v/>
      </c>
      <c r="S332" s="217" t="str">
        <f t="shared" si="40"/>
        <v/>
      </c>
      <c r="T332" s="218" t="str">
        <f t="shared" si="38"/>
        <v/>
      </c>
      <c r="U332" s="219" t="str">
        <f>IF(S332="","",'Loan Terms'!$H$14)</f>
        <v/>
      </c>
      <c r="V332" s="220" t="str">
        <f t="shared" si="45"/>
        <v/>
      </c>
    </row>
    <row r="333" spans="2:22" ht="14.25" customHeight="1" x14ac:dyDescent="0.2">
      <c r="B333" s="126" t="str">
        <f>IF(OR(B332="",B332='Loan Terms'!$H$9*12),"",B332+1)</f>
        <v/>
      </c>
      <c r="C333" s="128" t="str">
        <f>IF(B333="","",IF('Loan Terms'!$H$15="30/360",30,D333-D332))</f>
        <v/>
      </c>
      <c r="D333" s="129" t="str">
        <f t="shared" si="41"/>
        <v/>
      </c>
      <c r="E333" s="129" t="str">
        <f>IF(B333="","",IF(B333&lt;='Loan Terms'!$G$10,"Yes","No"))</f>
        <v/>
      </c>
      <c r="F333" s="101" t="str">
        <f>IF(B333="","",IF('Loan Terms'!$C$13="Fixed",'Loan Terms'!$H$17,V333))</f>
        <v/>
      </c>
      <c r="G333" s="12" t="str">
        <f t="shared" si="42"/>
        <v/>
      </c>
      <c r="H333" s="12" t="str">
        <f>IF(G333="","",IF('Loan Terms'!$C$13="Fixed",(E333="Yes")*J333+(E333="No")*'Loan Terms'!$H$19,PMT(F333/12,'Loan Terms'!$G$11-B333+1,-G333)))</f>
        <v/>
      </c>
      <c r="I333" s="12" t="str">
        <f>IF(B333="","",IF(B333='Loan Terms'!$H$9*12,G333,H333-J333))</f>
        <v/>
      </c>
      <c r="J333" s="130" t="str">
        <f>IF(B333="","",IF('Loan Terms'!$H$15="Actual/365",F333*(C333/365),F333*(C333/360))*G333)</f>
        <v/>
      </c>
      <c r="K333" s="12" t="str">
        <f t="shared" si="39"/>
        <v/>
      </c>
      <c r="L333" s="130" t="str">
        <f t="shared" si="43"/>
        <v/>
      </c>
      <c r="N333" s="14" t="str">
        <f t="shared" si="44"/>
        <v/>
      </c>
      <c r="S333" s="217" t="str">
        <f t="shared" si="40"/>
        <v/>
      </c>
      <c r="T333" s="218" t="str">
        <f t="shared" si="38"/>
        <v/>
      </c>
      <c r="U333" s="219" t="str">
        <f>IF(S333="","",'Loan Terms'!$H$14)</f>
        <v/>
      </c>
      <c r="V333" s="220" t="str">
        <f t="shared" si="45"/>
        <v/>
      </c>
    </row>
    <row r="334" spans="2:22" ht="14.25" customHeight="1" x14ac:dyDescent="0.2">
      <c r="B334" s="126" t="str">
        <f>IF(OR(B333="",B333='Loan Terms'!$H$9*12),"",B333+1)</f>
        <v/>
      </c>
      <c r="C334" s="128" t="str">
        <f>IF(B334="","",IF('Loan Terms'!$H$15="30/360",30,D334-D333))</f>
        <v/>
      </c>
      <c r="D334" s="129" t="str">
        <f t="shared" si="41"/>
        <v/>
      </c>
      <c r="E334" s="129" t="str">
        <f>IF(B334="","",IF(B334&lt;='Loan Terms'!$G$10,"Yes","No"))</f>
        <v/>
      </c>
      <c r="F334" s="101" t="str">
        <f>IF(B334="","",IF('Loan Terms'!$C$13="Fixed",'Loan Terms'!$H$17,V334))</f>
        <v/>
      </c>
      <c r="G334" s="12" t="str">
        <f t="shared" si="42"/>
        <v/>
      </c>
      <c r="H334" s="12" t="str">
        <f>IF(G334="","",IF('Loan Terms'!$C$13="Fixed",(E334="Yes")*J334+(E334="No")*'Loan Terms'!$H$19,PMT(F334/12,'Loan Terms'!$G$11-B334+1,-G334)))</f>
        <v/>
      </c>
      <c r="I334" s="12" t="str">
        <f>IF(B334="","",IF(B334='Loan Terms'!$H$9*12,G334,H334-J334))</f>
        <v/>
      </c>
      <c r="J334" s="130" t="str">
        <f>IF(B334="","",IF('Loan Terms'!$H$15="Actual/365",F334*(C334/365),F334*(C334/360))*G334)</f>
        <v/>
      </c>
      <c r="K334" s="12" t="str">
        <f t="shared" si="39"/>
        <v/>
      </c>
      <c r="L334" s="130" t="str">
        <f t="shared" si="43"/>
        <v/>
      </c>
      <c r="N334" s="14" t="str">
        <f t="shared" si="44"/>
        <v/>
      </c>
      <c r="S334" s="217" t="str">
        <f t="shared" si="40"/>
        <v/>
      </c>
      <c r="T334" s="218" t="str">
        <f t="shared" si="38"/>
        <v/>
      </c>
      <c r="U334" s="219" t="str">
        <f>IF(S334="","",'Loan Terms'!$H$14)</f>
        <v/>
      </c>
      <c r="V334" s="220" t="str">
        <f t="shared" si="45"/>
        <v/>
      </c>
    </row>
    <row r="335" spans="2:22" ht="14.25" customHeight="1" x14ac:dyDescent="0.2">
      <c r="B335" s="126" t="str">
        <f>IF(OR(B334="",B334='Loan Terms'!$H$9*12),"",B334+1)</f>
        <v/>
      </c>
      <c r="C335" s="128" t="str">
        <f>IF(B335="","",IF('Loan Terms'!$H$15="30/360",30,D335-D334))</f>
        <v/>
      </c>
      <c r="D335" s="129" t="str">
        <f t="shared" si="41"/>
        <v/>
      </c>
      <c r="E335" s="129" t="str">
        <f>IF(B335="","",IF(B335&lt;='Loan Terms'!$G$10,"Yes","No"))</f>
        <v/>
      </c>
      <c r="F335" s="101" t="str">
        <f>IF(B335="","",IF('Loan Terms'!$C$13="Fixed",'Loan Terms'!$H$17,V335))</f>
        <v/>
      </c>
      <c r="G335" s="12" t="str">
        <f t="shared" si="42"/>
        <v/>
      </c>
      <c r="H335" s="12" t="str">
        <f>IF(G335="","",IF('Loan Terms'!$C$13="Fixed",(E335="Yes")*J335+(E335="No")*'Loan Terms'!$H$19,PMT(F335/12,'Loan Terms'!$G$11-B335+1,-G335)))</f>
        <v/>
      </c>
      <c r="I335" s="12" t="str">
        <f>IF(B335="","",IF(B335='Loan Terms'!$H$9*12,G335,H335-J335))</f>
        <v/>
      </c>
      <c r="J335" s="130" t="str">
        <f>IF(B335="","",IF('Loan Terms'!$H$15="Actual/365",F335*(C335/365),F335*(C335/360))*G335)</f>
        <v/>
      </c>
      <c r="K335" s="12" t="str">
        <f t="shared" si="39"/>
        <v/>
      </c>
      <c r="L335" s="130" t="str">
        <f t="shared" si="43"/>
        <v/>
      </c>
      <c r="N335" s="14" t="str">
        <f t="shared" si="44"/>
        <v/>
      </c>
      <c r="S335" s="217" t="str">
        <f t="shared" si="40"/>
        <v/>
      </c>
      <c r="T335" s="218" t="str">
        <f t="shared" si="38"/>
        <v/>
      </c>
      <c r="U335" s="219" t="str">
        <f>IF(S335="","",'Loan Terms'!$H$14)</f>
        <v/>
      </c>
      <c r="V335" s="220" t="str">
        <f t="shared" si="45"/>
        <v/>
      </c>
    </row>
    <row r="336" spans="2:22" ht="14.25" customHeight="1" x14ac:dyDescent="0.2">
      <c r="B336" s="126" t="str">
        <f>IF(OR(B335="",B335='Loan Terms'!$H$9*12),"",B335+1)</f>
        <v/>
      </c>
      <c r="C336" s="128" t="str">
        <f>IF(B336="","",IF('Loan Terms'!$H$15="30/360",30,D336-D335))</f>
        <v/>
      </c>
      <c r="D336" s="129" t="str">
        <f t="shared" si="41"/>
        <v/>
      </c>
      <c r="E336" s="129" t="str">
        <f>IF(B336="","",IF(B336&lt;='Loan Terms'!$G$10,"Yes","No"))</f>
        <v/>
      </c>
      <c r="F336" s="101" t="str">
        <f>IF(B336="","",IF('Loan Terms'!$C$13="Fixed",'Loan Terms'!$H$17,V336))</f>
        <v/>
      </c>
      <c r="G336" s="12" t="str">
        <f t="shared" si="42"/>
        <v/>
      </c>
      <c r="H336" s="12" t="str">
        <f>IF(G336="","",IF('Loan Terms'!$C$13="Fixed",(E336="Yes")*J336+(E336="No")*'Loan Terms'!$H$19,PMT(F336/12,'Loan Terms'!$G$11-B336+1,-G336)))</f>
        <v/>
      </c>
      <c r="I336" s="12" t="str">
        <f>IF(B336="","",IF(B336='Loan Terms'!$H$9*12,G336,H336-J336))</f>
        <v/>
      </c>
      <c r="J336" s="130" t="str">
        <f>IF(B336="","",IF('Loan Terms'!$H$15="Actual/365",F336*(C336/365),F336*(C336/360))*G336)</f>
        <v/>
      </c>
      <c r="K336" s="12" t="str">
        <f t="shared" si="39"/>
        <v/>
      </c>
      <c r="L336" s="130" t="str">
        <f t="shared" si="43"/>
        <v/>
      </c>
      <c r="N336" s="14" t="str">
        <f t="shared" si="44"/>
        <v/>
      </c>
      <c r="S336" s="217" t="str">
        <f t="shared" si="40"/>
        <v/>
      </c>
      <c r="T336" s="218" t="str">
        <f t="shared" si="38"/>
        <v/>
      </c>
      <c r="U336" s="219" t="str">
        <f>IF(S336="","",'Loan Terms'!$H$14)</f>
        <v/>
      </c>
      <c r="V336" s="220" t="str">
        <f t="shared" si="45"/>
        <v/>
      </c>
    </row>
    <row r="337" spans="2:22" ht="14.25" customHeight="1" x14ac:dyDescent="0.2">
      <c r="B337" s="126" t="str">
        <f>IF(OR(B336="",B336='Loan Terms'!$H$9*12),"",B336+1)</f>
        <v/>
      </c>
      <c r="C337" s="128" t="str">
        <f>IF(B337="","",IF('Loan Terms'!$H$15="30/360",30,D337-D336))</f>
        <v/>
      </c>
      <c r="D337" s="129" t="str">
        <f t="shared" si="41"/>
        <v/>
      </c>
      <c r="E337" s="129" t="str">
        <f>IF(B337="","",IF(B337&lt;='Loan Terms'!$G$10,"Yes","No"))</f>
        <v/>
      </c>
      <c r="F337" s="101" t="str">
        <f>IF(B337="","",IF('Loan Terms'!$C$13="Fixed",'Loan Terms'!$H$17,V337))</f>
        <v/>
      </c>
      <c r="G337" s="12" t="str">
        <f t="shared" si="42"/>
        <v/>
      </c>
      <c r="H337" s="12" t="str">
        <f>IF(G337="","",IF('Loan Terms'!$C$13="Fixed",(E337="Yes")*J337+(E337="No")*'Loan Terms'!$H$19,PMT(F337/12,'Loan Terms'!$G$11-B337+1,-G337)))</f>
        <v/>
      </c>
      <c r="I337" s="12" t="str">
        <f>IF(B337="","",IF(B337='Loan Terms'!$H$9*12,G337,H337-J337))</f>
        <v/>
      </c>
      <c r="J337" s="130" t="str">
        <f>IF(B337="","",IF('Loan Terms'!$H$15="Actual/365",F337*(C337/365),F337*(C337/360))*G337)</f>
        <v/>
      </c>
      <c r="K337" s="12" t="str">
        <f t="shared" si="39"/>
        <v/>
      </c>
      <c r="L337" s="130" t="str">
        <f t="shared" si="43"/>
        <v/>
      </c>
      <c r="N337" s="14" t="str">
        <f t="shared" si="44"/>
        <v/>
      </c>
      <c r="S337" s="217" t="str">
        <f t="shared" si="40"/>
        <v/>
      </c>
      <c r="T337" s="218" t="str">
        <f t="shared" si="38"/>
        <v/>
      </c>
      <c r="U337" s="219" t="str">
        <f>IF(S337="","",'Loan Terms'!$H$14)</f>
        <v/>
      </c>
      <c r="V337" s="220" t="str">
        <f t="shared" si="45"/>
        <v/>
      </c>
    </row>
    <row r="338" spans="2:22" ht="14.25" customHeight="1" x14ac:dyDescent="0.2">
      <c r="B338" s="126" t="str">
        <f>IF(OR(B337="",B337='Loan Terms'!$H$9*12),"",B337+1)</f>
        <v/>
      </c>
      <c r="C338" s="128" t="str">
        <f>IF(B338="","",IF('Loan Terms'!$H$15="30/360",30,D338-D337))</f>
        <v/>
      </c>
      <c r="D338" s="129" t="str">
        <f t="shared" si="41"/>
        <v/>
      </c>
      <c r="E338" s="129" t="str">
        <f>IF(B338="","",IF(B338&lt;='Loan Terms'!$G$10,"Yes","No"))</f>
        <v/>
      </c>
      <c r="F338" s="101" t="str">
        <f>IF(B338="","",IF('Loan Terms'!$C$13="Fixed",'Loan Terms'!$H$17,V338))</f>
        <v/>
      </c>
      <c r="G338" s="12" t="str">
        <f t="shared" si="42"/>
        <v/>
      </c>
      <c r="H338" s="12" t="str">
        <f>IF(G338="","",IF('Loan Terms'!$C$13="Fixed",(E338="Yes")*J338+(E338="No")*'Loan Terms'!$H$19,PMT(F338/12,'Loan Terms'!$G$11-B338+1,-G338)))</f>
        <v/>
      </c>
      <c r="I338" s="12" t="str">
        <f>IF(B338="","",IF(B338='Loan Terms'!$H$9*12,G338,H338-J338))</f>
        <v/>
      </c>
      <c r="J338" s="130" t="str">
        <f>IF(B338="","",IF('Loan Terms'!$H$15="Actual/365",F338*(C338/365),F338*(C338/360))*G338)</f>
        <v/>
      </c>
      <c r="K338" s="12" t="str">
        <f t="shared" si="39"/>
        <v/>
      </c>
      <c r="L338" s="130" t="str">
        <f t="shared" si="43"/>
        <v/>
      </c>
      <c r="N338" s="14" t="str">
        <f t="shared" si="44"/>
        <v/>
      </c>
      <c r="S338" s="217" t="str">
        <f t="shared" si="40"/>
        <v/>
      </c>
      <c r="T338" s="218" t="str">
        <f t="shared" si="38"/>
        <v/>
      </c>
      <c r="U338" s="219" t="str">
        <f>IF(S338="","",'Loan Terms'!$H$14)</f>
        <v/>
      </c>
      <c r="V338" s="220" t="str">
        <f t="shared" si="45"/>
        <v/>
      </c>
    </row>
    <row r="339" spans="2:22" ht="14.25" customHeight="1" x14ac:dyDescent="0.2">
      <c r="B339" s="126" t="str">
        <f>IF(OR(B338="",B338='Loan Terms'!$H$9*12),"",B338+1)</f>
        <v/>
      </c>
      <c r="C339" s="128" t="str">
        <f>IF(B339="","",IF('Loan Terms'!$H$15="30/360",30,D339-D338))</f>
        <v/>
      </c>
      <c r="D339" s="129" t="str">
        <f t="shared" si="41"/>
        <v/>
      </c>
      <c r="E339" s="129" t="str">
        <f>IF(B339="","",IF(B339&lt;='Loan Terms'!$G$10,"Yes","No"))</f>
        <v/>
      </c>
      <c r="F339" s="101" t="str">
        <f>IF(B339="","",IF('Loan Terms'!$C$13="Fixed",'Loan Terms'!$H$17,V339))</f>
        <v/>
      </c>
      <c r="G339" s="12" t="str">
        <f t="shared" si="42"/>
        <v/>
      </c>
      <c r="H339" s="12" t="str">
        <f>IF(G339="","",IF('Loan Terms'!$C$13="Fixed",(E339="Yes")*J339+(E339="No")*'Loan Terms'!$H$19,PMT(F339/12,'Loan Terms'!$G$11-B339+1,-G339)))</f>
        <v/>
      </c>
      <c r="I339" s="12" t="str">
        <f>IF(B339="","",IF(B339='Loan Terms'!$H$9*12,G339,H339-J339))</f>
        <v/>
      </c>
      <c r="J339" s="130" t="str">
        <f>IF(B339="","",IF('Loan Terms'!$H$15="Actual/365",F339*(C339/365),F339*(C339/360))*G339)</f>
        <v/>
      </c>
      <c r="K339" s="12" t="str">
        <f t="shared" si="39"/>
        <v/>
      </c>
      <c r="L339" s="130" t="str">
        <f t="shared" si="43"/>
        <v/>
      </c>
      <c r="N339" s="14" t="str">
        <f t="shared" si="44"/>
        <v/>
      </c>
      <c r="S339" s="217" t="str">
        <f t="shared" si="40"/>
        <v/>
      </c>
      <c r="T339" s="218" t="str">
        <f t="shared" si="38"/>
        <v/>
      </c>
      <c r="U339" s="219" t="str">
        <f>IF(S339="","",'Loan Terms'!$H$14)</f>
        <v/>
      </c>
      <c r="V339" s="220" t="str">
        <f t="shared" si="45"/>
        <v/>
      </c>
    </row>
    <row r="340" spans="2:22" ht="14.25" customHeight="1" x14ac:dyDescent="0.2">
      <c r="B340" s="126" t="str">
        <f>IF(OR(B339="",B339='Loan Terms'!$H$9*12),"",B339+1)</f>
        <v/>
      </c>
      <c r="C340" s="128" t="str">
        <f>IF(B340="","",IF('Loan Terms'!$H$15="30/360",30,D340-D339))</f>
        <v/>
      </c>
      <c r="D340" s="129" t="str">
        <f t="shared" si="41"/>
        <v/>
      </c>
      <c r="E340" s="129" t="str">
        <f>IF(B340="","",IF(B340&lt;='Loan Terms'!$G$10,"Yes","No"))</f>
        <v/>
      </c>
      <c r="F340" s="101" t="str">
        <f>IF(B340="","",IF('Loan Terms'!$C$13="Fixed",'Loan Terms'!$H$17,V340))</f>
        <v/>
      </c>
      <c r="G340" s="12" t="str">
        <f t="shared" si="42"/>
        <v/>
      </c>
      <c r="H340" s="12" t="str">
        <f>IF(G340="","",IF('Loan Terms'!$C$13="Fixed",(E340="Yes")*J340+(E340="No")*'Loan Terms'!$H$19,PMT(F340/12,'Loan Terms'!$G$11-B340+1,-G340)))</f>
        <v/>
      </c>
      <c r="I340" s="12" t="str">
        <f>IF(B340="","",IF(B340='Loan Terms'!$H$9*12,G340,H340-J340))</f>
        <v/>
      </c>
      <c r="J340" s="130" t="str">
        <f>IF(B340="","",IF('Loan Terms'!$H$15="Actual/365",F340*(C340/365),F340*(C340/360))*G340)</f>
        <v/>
      </c>
      <c r="K340" s="12" t="str">
        <f t="shared" si="39"/>
        <v/>
      </c>
      <c r="L340" s="130" t="str">
        <f t="shared" si="43"/>
        <v/>
      </c>
      <c r="N340" s="14" t="str">
        <f t="shared" si="44"/>
        <v/>
      </c>
      <c r="S340" s="217" t="str">
        <f t="shared" si="40"/>
        <v/>
      </c>
      <c r="T340" s="218" t="str">
        <f t="shared" si="38"/>
        <v/>
      </c>
      <c r="U340" s="219" t="str">
        <f>IF(S340="","",'Loan Terms'!$H$14)</f>
        <v/>
      </c>
      <c r="V340" s="220" t="str">
        <f t="shared" si="45"/>
        <v/>
      </c>
    </row>
    <row r="341" spans="2:22" ht="14.25" customHeight="1" x14ac:dyDescent="0.2">
      <c r="B341" s="126" t="str">
        <f>IF(OR(B340="",B340='Loan Terms'!$H$9*12),"",B340+1)</f>
        <v/>
      </c>
      <c r="C341" s="128" t="str">
        <f>IF(B341="","",IF('Loan Terms'!$H$15="30/360",30,D341-D340))</f>
        <v/>
      </c>
      <c r="D341" s="129" t="str">
        <f t="shared" si="41"/>
        <v/>
      </c>
      <c r="E341" s="129" t="str">
        <f>IF(B341="","",IF(B341&lt;='Loan Terms'!$G$10,"Yes","No"))</f>
        <v/>
      </c>
      <c r="F341" s="101" t="str">
        <f>IF(B341="","",IF('Loan Terms'!$C$13="Fixed",'Loan Terms'!$H$17,V341))</f>
        <v/>
      </c>
      <c r="G341" s="12" t="str">
        <f t="shared" si="42"/>
        <v/>
      </c>
      <c r="H341" s="12" t="str">
        <f>IF(G341="","",IF('Loan Terms'!$C$13="Fixed",(E341="Yes")*J341+(E341="No")*'Loan Terms'!$H$19,PMT(F341/12,'Loan Terms'!$G$11-B341+1,-G341)))</f>
        <v/>
      </c>
      <c r="I341" s="12" t="str">
        <f>IF(B341="","",IF(B341='Loan Terms'!$H$9*12,G341,H341-J341))</f>
        <v/>
      </c>
      <c r="J341" s="130" t="str">
        <f>IF(B341="","",IF('Loan Terms'!$H$15="Actual/365",F341*(C341/365),F341*(C341/360))*G341)</f>
        <v/>
      </c>
      <c r="K341" s="12" t="str">
        <f t="shared" si="39"/>
        <v/>
      </c>
      <c r="L341" s="130" t="str">
        <f t="shared" si="43"/>
        <v/>
      </c>
      <c r="N341" s="14" t="str">
        <f t="shared" si="44"/>
        <v/>
      </c>
      <c r="S341" s="217" t="str">
        <f t="shared" si="40"/>
        <v/>
      </c>
      <c r="T341" s="218" t="str">
        <f t="shared" si="38"/>
        <v/>
      </c>
      <c r="U341" s="219" t="str">
        <f>IF(S341="","",'Loan Terms'!$H$14)</f>
        <v/>
      </c>
      <c r="V341" s="220" t="str">
        <f t="shared" si="45"/>
        <v/>
      </c>
    </row>
    <row r="342" spans="2:22" ht="14.25" customHeight="1" x14ac:dyDescent="0.2">
      <c r="B342" s="126" t="str">
        <f>IF(OR(B341="",B341='Loan Terms'!$H$9*12),"",B341+1)</f>
        <v/>
      </c>
      <c r="C342" s="128" t="str">
        <f>IF(B342="","",IF('Loan Terms'!$H$15="30/360",30,D342-D341))</f>
        <v/>
      </c>
      <c r="D342" s="129" t="str">
        <f t="shared" si="41"/>
        <v/>
      </c>
      <c r="E342" s="129" t="str">
        <f>IF(B342="","",IF(B342&lt;='Loan Terms'!$G$10,"Yes","No"))</f>
        <v/>
      </c>
      <c r="F342" s="101" t="str">
        <f>IF(B342="","",IF('Loan Terms'!$C$13="Fixed",'Loan Terms'!$H$17,V342))</f>
        <v/>
      </c>
      <c r="G342" s="12" t="str">
        <f t="shared" si="42"/>
        <v/>
      </c>
      <c r="H342" s="12" t="str">
        <f>IF(G342="","",IF('Loan Terms'!$C$13="Fixed",(E342="Yes")*J342+(E342="No")*'Loan Terms'!$H$19,PMT(F342/12,'Loan Terms'!$G$11-B342+1,-G342)))</f>
        <v/>
      </c>
      <c r="I342" s="12" t="str">
        <f>IF(B342="","",IF(B342='Loan Terms'!$H$9*12,G342,H342-J342))</f>
        <v/>
      </c>
      <c r="J342" s="130" t="str">
        <f>IF(B342="","",IF('Loan Terms'!$H$15="Actual/365",F342*(C342/365),F342*(C342/360))*G342)</f>
        <v/>
      </c>
      <c r="K342" s="12" t="str">
        <f t="shared" si="39"/>
        <v/>
      </c>
      <c r="L342" s="130" t="str">
        <f t="shared" si="43"/>
        <v/>
      </c>
      <c r="N342" s="14" t="str">
        <f t="shared" si="44"/>
        <v/>
      </c>
      <c r="S342" s="217" t="str">
        <f t="shared" si="40"/>
        <v/>
      </c>
      <c r="T342" s="218" t="str">
        <f t="shared" si="38"/>
        <v/>
      </c>
      <c r="U342" s="219" t="str">
        <f>IF(S342="","",'Loan Terms'!$H$14)</f>
        <v/>
      </c>
      <c r="V342" s="220" t="str">
        <f t="shared" si="45"/>
        <v/>
      </c>
    </row>
    <row r="343" spans="2:22" ht="14.25" customHeight="1" x14ac:dyDescent="0.2">
      <c r="B343" s="126" t="str">
        <f>IF(OR(B342="",B342='Loan Terms'!$H$9*12),"",B342+1)</f>
        <v/>
      </c>
      <c r="C343" s="128" t="str">
        <f>IF(B343="","",IF('Loan Terms'!$H$15="30/360",30,D343-D342))</f>
        <v/>
      </c>
      <c r="D343" s="129" t="str">
        <f t="shared" si="41"/>
        <v/>
      </c>
      <c r="E343" s="129" t="str">
        <f>IF(B343="","",IF(B343&lt;='Loan Terms'!$G$10,"Yes","No"))</f>
        <v/>
      </c>
      <c r="F343" s="101" t="str">
        <f>IF(B343="","",IF('Loan Terms'!$C$13="Fixed",'Loan Terms'!$H$17,V343))</f>
        <v/>
      </c>
      <c r="G343" s="12" t="str">
        <f t="shared" si="42"/>
        <v/>
      </c>
      <c r="H343" s="12" t="str">
        <f>IF(G343="","",IF('Loan Terms'!$C$13="Fixed",(E343="Yes")*J343+(E343="No")*'Loan Terms'!$H$19,PMT(F343/12,'Loan Terms'!$G$11-B343+1,-G343)))</f>
        <v/>
      </c>
      <c r="I343" s="12" t="str">
        <f>IF(B343="","",IF(B343='Loan Terms'!$H$9*12,G343,H343-J343))</f>
        <v/>
      </c>
      <c r="J343" s="130" t="str">
        <f>IF(B343="","",IF('Loan Terms'!$H$15="Actual/365",F343*(C343/365),F343*(C343/360))*G343)</f>
        <v/>
      </c>
      <c r="K343" s="12" t="str">
        <f t="shared" si="39"/>
        <v/>
      </c>
      <c r="L343" s="130" t="str">
        <f t="shared" si="43"/>
        <v/>
      </c>
      <c r="N343" s="14" t="str">
        <f t="shared" si="44"/>
        <v/>
      </c>
      <c r="S343" s="217" t="str">
        <f t="shared" si="40"/>
        <v/>
      </c>
      <c r="T343" s="218" t="str">
        <f t="shared" si="38"/>
        <v/>
      </c>
      <c r="U343" s="219" t="str">
        <f>IF(S343="","",'Loan Terms'!$H$14)</f>
        <v/>
      </c>
      <c r="V343" s="220" t="str">
        <f t="shared" si="45"/>
        <v/>
      </c>
    </row>
    <row r="344" spans="2:22" ht="14.25" customHeight="1" x14ac:dyDescent="0.2">
      <c r="B344" s="126" t="str">
        <f>IF(OR(B343="",B343='Loan Terms'!$H$9*12),"",B343+1)</f>
        <v/>
      </c>
      <c r="C344" s="128" t="str">
        <f>IF(B344="","",IF('Loan Terms'!$H$15="30/360",30,D344-D343))</f>
        <v/>
      </c>
      <c r="D344" s="129" t="str">
        <f t="shared" si="41"/>
        <v/>
      </c>
      <c r="E344" s="129" t="str">
        <f>IF(B344="","",IF(B344&lt;='Loan Terms'!$G$10,"Yes","No"))</f>
        <v/>
      </c>
      <c r="F344" s="101" t="str">
        <f>IF(B344="","",IF('Loan Terms'!$C$13="Fixed",'Loan Terms'!$H$17,V344))</f>
        <v/>
      </c>
      <c r="G344" s="12" t="str">
        <f t="shared" si="42"/>
        <v/>
      </c>
      <c r="H344" s="12" t="str">
        <f>IF(G344="","",IF('Loan Terms'!$C$13="Fixed",(E344="Yes")*J344+(E344="No")*'Loan Terms'!$H$19,PMT(F344/12,'Loan Terms'!$G$11-B344+1,-G344)))</f>
        <v/>
      </c>
      <c r="I344" s="12" t="str">
        <f>IF(B344="","",IF(B344='Loan Terms'!$H$9*12,G344,H344-J344))</f>
        <v/>
      </c>
      <c r="J344" s="130" t="str">
        <f>IF(B344="","",IF('Loan Terms'!$H$15="Actual/365",F344*(C344/365),F344*(C344/360))*G344)</f>
        <v/>
      </c>
      <c r="K344" s="12" t="str">
        <f t="shared" si="39"/>
        <v/>
      </c>
      <c r="L344" s="130" t="str">
        <f t="shared" si="43"/>
        <v/>
      </c>
      <c r="N344" s="14" t="str">
        <f t="shared" si="44"/>
        <v/>
      </c>
      <c r="S344" s="217" t="str">
        <f t="shared" si="40"/>
        <v/>
      </c>
      <c r="T344" s="218" t="str">
        <f t="shared" si="38"/>
        <v/>
      </c>
      <c r="U344" s="219" t="str">
        <f>IF(S344="","",'Loan Terms'!$H$14)</f>
        <v/>
      </c>
      <c r="V344" s="220" t="str">
        <f t="shared" si="45"/>
        <v/>
      </c>
    </row>
    <row r="345" spans="2:22" ht="14.25" customHeight="1" x14ac:dyDescent="0.2">
      <c r="B345" s="126" t="str">
        <f>IF(OR(B344="",B344='Loan Terms'!$H$9*12),"",B344+1)</f>
        <v/>
      </c>
      <c r="C345" s="128" t="str">
        <f>IF(B345="","",IF('Loan Terms'!$H$15="30/360",30,D345-D344))</f>
        <v/>
      </c>
      <c r="D345" s="129" t="str">
        <f t="shared" si="41"/>
        <v/>
      </c>
      <c r="E345" s="129" t="str">
        <f>IF(B345="","",IF(B345&lt;='Loan Terms'!$G$10,"Yes","No"))</f>
        <v/>
      </c>
      <c r="F345" s="101" t="str">
        <f>IF(B345="","",IF('Loan Terms'!$C$13="Fixed",'Loan Terms'!$H$17,V345))</f>
        <v/>
      </c>
      <c r="G345" s="12" t="str">
        <f t="shared" si="42"/>
        <v/>
      </c>
      <c r="H345" s="12" t="str">
        <f>IF(G345="","",IF('Loan Terms'!$C$13="Fixed",(E345="Yes")*J345+(E345="No")*'Loan Terms'!$H$19,PMT(F345/12,'Loan Terms'!$G$11-B345+1,-G345)))</f>
        <v/>
      </c>
      <c r="I345" s="12" t="str">
        <f>IF(B345="","",IF(B345='Loan Terms'!$H$9*12,G345,H345-J345))</f>
        <v/>
      </c>
      <c r="J345" s="130" t="str">
        <f>IF(B345="","",IF('Loan Terms'!$H$15="Actual/365",F345*(C345/365),F345*(C345/360))*G345)</f>
        <v/>
      </c>
      <c r="K345" s="12" t="str">
        <f t="shared" si="39"/>
        <v/>
      </c>
      <c r="L345" s="130" t="str">
        <f t="shared" si="43"/>
        <v/>
      </c>
      <c r="N345" s="14" t="str">
        <f t="shared" si="44"/>
        <v/>
      </c>
      <c r="S345" s="217" t="str">
        <f t="shared" si="40"/>
        <v/>
      </c>
      <c r="T345" s="218" t="str">
        <f t="shared" si="38"/>
        <v/>
      </c>
      <c r="U345" s="219" t="str">
        <f>IF(S345="","",'Loan Terms'!$H$14)</f>
        <v/>
      </c>
      <c r="V345" s="220" t="str">
        <f t="shared" si="45"/>
        <v/>
      </c>
    </row>
    <row r="346" spans="2:22" ht="14.25" customHeight="1" x14ac:dyDescent="0.2">
      <c r="B346" s="126" t="str">
        <f>IF(OR(B345="",B345='Loan Terms'!$H$9*12),"",B345+1)</f>
        <v/>
      </c>
      <c r="C346" s="128" t="str">
        <f>IF(B346="","",IF('Loan Terms'!$H$15="30/360",30,D346-D345))</f>
        <v/>
      </c>
      <c r="D346" s="129" t="str">
        <f t="shared" si="41"/>
        <v/>
      </c>
      <c r="E346" s="129" t="str">
        <f>IF(B346="","",IF(B346&lt;='Loan Terms'!$G$10,"Yes","No"))</f>
        <v/>
      </c>
      <c r="F346" s="101" t="str">
        <f>IF(B346="","",IF('Loan Terms'!$C$13="Fixed",'Loan Terms'!$H$17,V346))</f>
        <v/>
      </c>
      <c r="G346" s="12" t="str">
        <f t="shared" si="42"/>
        <v/>
      </c>
      <c r="H346" s="12" t="str">
        <f>IF(G346="","",IF('Loan Terms'!$C$13="Fixed",(E346="Yes")*J346+(E346="No")*'Loan Terms'!$H$19,PMT(F346/12,'Loan Terms'!$G$11-B346+1,-G346)))</f>
        <v/>
      </c>
      <c r="I346" s="12" t="str">
        <f>IF(B346="","",IF(B346='Loan Terms'!$H$9*12,G346,H346-J346))</f>
        <v/>
      </c>
      <c r="J346" s="130" t="str">
        <f>IF(B346="","",IF('Loan Terms'!$H$15="Actual/365",F346*(C346/365),F346*(C346/360))*G346)</f>
        <v/>
      </c>
      <c r="K346" s="12" t="str">
        <f t="shared" si="39"/>
        <v/>
      </c>
      <c r="L346" s="130" t="str">
        <f t="shared" si="43"/>
        <v/>
      </c>
      <c r="N346" s="14" t="str">
        <f t="shared" si="44"/>
        <v/>
      </c>
      <c r="S346" s="217" t="str">
        <f t="shared" si="40"/>
        <v/>
      </c>
      <c r="T346" s="218" t="str">
        <f t="shared" si="38"/>
        <v/>
      </c>
      <c r="U346" s="219" t="str">
        <f>IF(S346="","",'Loan Terms'!$H$14)</f>
        <v/>
      </c>
      <c r="V346" s="220" t="str">
        <f t="shared" si="45"/>
        <v/>
      </c>
    </row>
    <row r="347" spans="2:22" ht="14.25" customHeight="1" x14ac:dyDescent="0.2">
      <c r="B347" s="126" t="str">
        <f>IF(OR(B346="",B346='Loan Terms'!$H$9*12),"",B346+1)</f>
        <v/>
      </c>
      <c r="C347" s="128" t="str">
        <f>IF(B347="","",IF('Loan Terms'!$H$15="30/360",30,D347-D346))</f>
        <v/>
      </c>
      <c r="D347" s="129" t="str">
        <f t="shared" si="41"/>
        <v/>
      </c>
      <c r="E347" s="129" t="str">
        <f>IF(B347="","",IF(B347&lt;='Loan Terms'!$G$10,"Yes","No"))</f>
        <v/>
      </c>
      <c r="F347" s="101" t="str">
        <f>IF(B347="","",IF('Loan Terms'!$C$13="Fixed",'Loan Terms'!$H$17,V347))</f>
        <v/>
      </c>
      <c r="G347" s="12" t="str">
        <f t="shared" si="42"/>
        <v/>
      </c>
      <c r="H347" s="12" t="str">
        <f>IF(G347="","",IF('Loan Terms'!$C$13="Fixed",(E347="Yes")*J347+(E347="No")*'Loan Terms'!$H$19,PMT(F347/12,'Loan Terms'!$G$11-B347+1,-G347)))</f>
        <v/>
      </c>
      <c r="I347" s="12" t="str">
        <f>IF(B347="","",IF(B347='Loan Terms'!$H$9*12,G347,H347-J347))</f>
        <v/>
      </c>
      <c r="J347" s="130" t="str">
        <f>IF(B347="","",IF('Loan Terms'!$H$15="Actual/365",F347*(C347/365),F347*(C347/360))*G347)</f>
        <v/>
      </c>
      <c r="K347" s="12" t="str">
        <f t="shared" si="39"/>
        <v/>
      </c>
      <c r="L347" s="130" t="str">
        <f t="shared" si="43"/>
        <v/>
      </c>
      <c r="N347" s="14" t="str">
        <f t="shared" si="44"/>
        <v/>
      </c>
      <c r="S347" s="217" t="str">
        <f t="shared" si="40"/>
        <v/>
      </c>
      <c r="T347" s="218" t="str">
        <f t="shared" si="38"/>
        <v/>
      </c>
      <c r="U347" s="219" t="str">
        <f>IF(S347="","",'Loan Terms'!$H$14)</f>
        <v/>
      </c>
      <c r="V347" s="220" t="str">
        <f t="shared" si="45"/>
        <v/>
      </c>
    </row>
    <row r="348" spans="2:22" ht="14.25" customHeight="1" x14ac:dyDescent="0.2">
      <c r="B348" s="126" t="str">
        <f>IF(OR(B347="",B347='Loan Terms'!$H$9*12),"",B347+1)</f>
        <v/>
      </c>
      <c r="C348" s="128" t="str">
        <f>IF(B348="","",IF('Loan Terms'!$H$15="30/360",30,D348-D347))</f>
        <v/>
      </c>
      <c r="D348" s="129" t="str">
        <f t="shared" si="41"/>
        <v/>
      </c>
      <c r="E348" s="129" t="str">
        <f>IF(B348="","",IF(B348&lt;='Loan Terms'!$G$10,"Yes","No"))</f>
        <v/>
      </c>
      <c r="F348" s="101" t="str">
        <f>IF(B348="","",IF('Loan Terms'!$C$13="Fixed",'Loan Terms'!$H$17,V348))</f>
        <v/>
      </c>
      <c r="G348" s="12" t="str">
        <f t="shared" si="42"/>
        <v/>
      </c>
      <c r="H348" s="12" t="str">
        <f>IF(G348="","",IF('Loan Terms'!$C$13="Fixed",(E348="Yes")*J348+(E348="No")*'Loan Terms'!$H$19,PMT(F348/12,'Loan Terms'!$G$11-B348+1,-G348)))</f>
        <v/>
      </c>
      <c r="I348" s="12" t="str">
        <f>IF(B348="","",IF(B348='Loan Terms'!$H$9*12,G348,H348-J348))</f>
        <v/>
      </c>
      <c r="J348" s="130" t="str">
        <f>IF(B348="","",IF('Loan Terms'!$H$15="Actual/365",F348*(C348/365),F348*(C348/360))*G348)</f>
        <v/>
      </c>
      <c r="K348" s="12" t="str">
        <f t="shared" si="39"/>
        <v/>
      </c>
      <c r="L348" s="130" t="str">
        <f t="shared" si="43"/>
        <v/>
      </c>
      <c r="N348" s="14" t="str">
        <f t="shared" si="44"/>
        <v/>
      </c>
      <c r="S348" s="217" t="str">
        <f t="shared" si="40"/>
        <v/>
      </c>
      <c r="T348" s="218" t="str">
        <f t="shared" si="38"/>
        <v/>
      </c>
      <c r="U348" s="219" t="str">
        <f>IF(S348="","",'Loan Terms'!$H$14)</f>
        <v/>
      </c>
      <c r="V348" s="220" t="str">
        <f t="shared" si="45"/>
        <v/>
      </c>
    </row>
    <row r="349" spans="2:22" ht="14.25" customHeight="1" x14ac:dyDescent="0.2">
      <c r="B349" s="126" t="str">
        <f>IF(OR(B348="",B348='Loan Terms'!$H$9*12),"",B348+1)</f>
        <v/>
      </c>
      <c r="C349" s="128" t="str">
        <f>IF(B349="","",IF('Loan Terms'!$H$15="30/360",30,D349-D348))</f>
        <v/>
      </c>
      <c r="D349" s="129" t="str">
        <f t="shared" si="41"/>
        <v/>
      </c>
      <c r="E349" s="129" t="str">
        <f>IF(B349="","",IF(B349&lt;='Loan Terms'!$G$10,"Yes","No"))</f>
        <v/>
      </c>
      <c r="F349" s="101" t="str">
        <f>IF(B349="","",IF('Loan Terms'!$C$13="Fixed",'Loan Terms'!$H$17,V349))</f>
        <v/>
      </c>
      <c r="G349" s="12" t="str">
        <f t="shared" si="42"/>
        <v/>
      </c>
      <c r="H349" s="12" t="str">
        <f>IF(G349="","",IF('Loan Terms'!$C$13="Fixed",(E349="Yes")*J349+(E349="No")*'Loan Terms'!$H$19,PMT(F349/12,'Loan Terms'!$G$11-B349+1,-G349)))</f>
        <v/>
      </c>
      <c r="I349" s="12" t="str">
        <f>IF(B349="","",IF(B349='Loan Terms'!$H$9*12,G349,H349-J349))</f>
        <v/>
      </c>
      <c r="J349" s="130" t="str">
        <f>IF(B349="","",IF('Loan Terms'!$H$15="Actual/365",F349*(C349/365),F349*(C349/360))*G349)</f>
        <v/>
      </c>
      <c r="K349" s="12" t="str">
        <f t="shared" si="39"/>
        <v/>
      </c>
      <c r="L349" s="130" t="str">
        <f t="shared" si="43"/>
        <v/>
      </c>
      <c r="N349" s="14" t="str">
        <f t="shared" si="44"/>
        <v/>
      </c>
      <c r="S349" s="217" t="str">
        <f t="shared" si="40"/>
        <v/>
      </c>
      <c r="T349" s="218" t="str">
        <f t="shared" si="38"/>
        <v/>
      </c>
      <c r="U349" s="219" t="str">
        <f>IF(S349="","",'Loan Terms'!$H$14)</f>
        <v/>
      </c>
      <c r="V349" s="220" t="str">
        <f t="shared" si="45"/>
        <v/>
      </c>
    </row>
    <row r="350" spans="2:22" ht="14.25" customHeight="1" x14ac:dyDescent="0.2">
      <c r="B350" s="126" t="str">
        <f>IF(OR(B349="",B349='Loan Terms'!$H$9*12),"",B349+1)</f>
        <v/>
      </c>
      <c r="C350" s="128" t="str">
        <f>IF(B350="","",IF('Loan Terms'!$H$15="30/360",30,D350-D349))</f>
        <v/>
      </c>
      <c r="D350" s="129" t="str">
        <f t="shared" si="41"/>
        <v/>
      </c>
      <c r="E350" s="129" t="str">
        <f>IF(B350="","",IF(B350&lt;='Loan Terms'!$G$10,"Yes","No"))</f>
        <v/>
      </c>
      <c r="F350" s="101" t="str">
        <f>IF(B350="","",IF('Loan Terms'!$C$13="Fixed",'Loan Terms'!$H$17,V350))</f>
        <v/>
      </c>
      <c r="G350" s="12" t="str">
        <f t="shared" si="42"/>
        <v/>
      </c>
      <c r="H350" s="12" t="str">
        <f>IF(G350="","",IF('Loan Terms'!$C$13="Fixed",(E350="Yes")*J350+(E350="No")*'Loan Terms'!$H$19,PMT(F350/12,'Loan Terms'!$G$11-B350+1,-G350)))</f>
        <v/>
      </c>
      <c r="I350" s="12" t="str">
        <f>IF(B350="","",IF(B350='Loan Terms'!$H$9*12,G350,H350-J350))</f>
        <v/>
      </c>
      <c r="J350" s="130" t="str">
        <f>IF(B350="","",IF('Loan Terms'!$H$15="Actual/365",F350*(C350/365),F350*(C350/360))*G350)</f>
        <v/>
      </c>
      <c r="K350" s="12" t="str">
        <f t="shared" si="39"/>
        <v/>
      </c>
      <c r="L350" s="130" t="str">
        <f t="shared" si="43"/>
        <v/>
      </c>
      <c r="N350" s="14" t="str">
        <f t="shared" si="44"/>
        <v/>
      </c>
      <c r="S350" s="217" t="str">
        <f t="shared" si="40"/>
        <v/>
      </c>
      <c r="T350" s="218" t="str">
        <f t="shared" si="38"/>
        <v/>
      </c>
      <c r="U350" s="219" t="str">
        <f>IF(S350="","",'Loan Terms'!$H$14)</f>
        <v/>
      </c>
      <c r="V350" s="220" t="str">
        <f t="shared" si="45"/>
        <v/>
      </c>
    </row>
    <row r="351" spans="2:22" ht="14.25" customHeight="1" x14ac:dyDescent="0.2">
      <c r="B351" s="126" t="str">
        <f>IF(OR(B350="",B350='Loan Terms'!$H$9*12),"",B350+1)</f>
        <v/>
      </c>
      <c r="C351" s="128" t="str">
        <f>IF(B351="","",IF('Loan Terms'!$H$15="30/360",30,D351-D350))</f>
        <v/>
      </c>
      <c r="D351" s="129" t="str">
        <f t="shared" si="41"/>
        <v/>
      </c>
      <c r="E351" s="129" t="str">
        <f>IF(B351="","",IF(B351&lt;='Loan Terms'!$G$10,"Yes","No"))</f>
        <v/>
      </c>
      <c r="F351" s="101" t="str">
        <f>IF(B351="","",IF('Loan Terms'!$C$13="Fixed",'Loan Terms'!$H$17,V351))</f>
        <v/>
      </c>
      <c r="G351" s="12" t="str">
        <f t="shared" si="42"/>
        <v/>
      </c>
      <c r="H351" s="12" t="str">
        <f>IF(G351="","",IF('Loan Terms'!$C$13="Fixed",(E351="Yes")*J351+(E351="No")*'Loan Terms'!$H$19,PMT(F351/12,'Loan Terms'!$G$11-B351+1,-G351)))</f>
        <v/>
      </c>
      <c r="I351" s="12" t="str">
        <f>IF(B351="","",IF(B351='Loan Terms'!$H$9*12,G351,H351-J351))</f>
        <v/>
      </c>
      <c r="J351" s="130" t="str">
        <f>IF(B351="","",IF('Loan Terms'!$H$15="Actual/365",F351*(C351/365),F351*(C351/360))*G351)</f>
        <v/>
      </c>
      <c r="K351" s="12" t="str">
        <f t="shared" si="39"/>
        <v/>
      </c>
      <c r="L351" s="130" t="str">
        <f t="shared" si="43"/>
        <v/>
      </c>
      <c r="N351" s="14" t="str">
        <f t="shared" si="44"/>
        <v/>
      </c>
      <c r="S351" s="217" t="str">
        <f t="shared" si="40"/>
        <v/>
      </c>
      <c r="T351" s="218" t="str">
        <f t="shared" si="38"/>
        <v/>
      </c>
      <c r="U351" s="219" t="str">
        <f>IF(S351="","",'Loan Terms'!$H$14)</f>
        <v/>
      </c>
      <c r="V351" s="220" t="str">
        <f t="shared" si="45"/>
        <v/>
      </c>
    </row>
    <row r="352" spans="2:22" ht="14.25" customHeight="1" x14ac:dyDescent="0.2">
      <c r="B352" s="126" t="str">
        <f>IF(OR(B351="",B351='Loan Terms'!$H$9*12),"",B351+1)</f>
        <v/>
      </c>
      <c r="C352" s="128" t="str">
        <f>IF(B352="","",IF('Loan Terms'!$H$15="30/360",30,D352-D351))</f>
        <v/>
      </c>
      <c r="D352" s="129" t="str">
        <f t="shared" si="41"/>
        <v/>
      </c>
      <c r="E352" s="129" t="str">
        <f>IF(B352="","",IF(B352&lt;='Loan Terms'!$G$10,"Yes","No"))</f>
        <v/>
      </c>
      <c r="F352" s="101" t="str">
        <f>IF(B352="","",IF('Loan Terms'!$C$13="Fixed",'Loan Terms'!$H$17,V352))</f>
        <v/>
      </c>
      <c r="G352" s="12" t="str">
        <f t="shared" si="42"/>
        <v/>
      </c>
      <c r="H352" s="12" t="str">
        <f>IF(G352="","",IF('Loan Terms'!$C$13="Fixed",(E352="Yes")*J352+(E352="No")*'Loan Terms'!$H$19,PMT(F352/12,'Loan Terms'!$G$11-B352+1,-G352)))</f>
        <v/>
      </c>
      <c r="I352" s="12" t="str">
        <f>IF(B352="","",IF(B352='Loan Terms'!$H$9*12,G352,H352-J352))</f>
        <v/>
      </c>
      <c r="J352" s="130" t="str">
        <f>IF(B352="","",IF('Loan Terms'!$H$15="Actual/365",F352*(C352/365),F352*(C352/360))*G352)</f>
        <v/>
      </c>
      <c r="K352" s="12" t="str">
        <f t="shared" si="39"/>
        <v/>
      </c>
      <c r="L352" s="130" t="str">
        <f t="shared" si="43"/>
        <v/>
      </c>
      <c r="N352" s="14" t="str">
        <f t="shared" si="44"/>
        <v/>
      </c>
      <c r="S352" s="217" t="str">
        <f t="shared" si="40"/>
        <v/>
      </c>
      <c r="T352" s="218" t="str">
        <f t="shared" si="38"/>
        <v/>
      </c>
      <c r="U352" s="219" t="str">
        <f>IF(S352="","",'Loan Terms'!$H$14)</f>
        <v/>
      </c>
      <c r="V352" s="220" t="str">
        <f t="shared" si="45"/>
        <v/>
      </c>
    </row>
    <row r="353" spans="2:22" ht="14.25" customHeight="1" x14ac:dyDescent="0.2">
      <c r="B353" s="126" t="str">
        <f>IF(OR(B352="",B352='Loan Terms'!$H$9*12),"",B352+1)</f>
        <v/>
      </c>
      <c r="C353" s="128" t="str">
        <f>IF(B353="","",IF('Loan Terms'!$H$15="30/360",30,D353-D352))</f>
        <v/>
      </c>
      <c r="D353" s="129" t="str">
        <f t="shared" si="41"/>
        <v/>
      </c>
      <c r="E353" s="129" t="str">
        <f>IF(B353="","",IF(B353&lt;='Loan Terms'!$G$10,"Yes","No"))</f>
        <v/>
      </c>
      <c r="F353" s="101" t="str">
        <f>IF(B353="","",IF('Loan Terms'!$C$13="Fixed",'Loan Terms'!$H$17,V353))</f>
        <v/>
      </c>
      <c r="G353" s="12" t="str">
        <f t="shared" si="42"/>
        <v/>
      </c>
      <c r="H353" s="12" t="str">
        <f>IF(G353="","",IF('Loan Terms'!$C$13="Fixed",(E353="Yes")*J353+(E353="No")*'Loan Terms'!$H$19,PMT(F353/12,'Loan Terms'!$G$11-B353+1,-G353)))</f>
        <v/>
      </c>
      <c r="I353" s="12" t="str">
        <f>IF(B353="","",IF(B353='Loan Terms'!$H$9*12,G353,H353-J353))</f>
        <v/>
      </c>
      <c r="J353" s="130" t="str">
        <f>IF(B353="","",IF('Loan Terms'!$H$15="Actual/365",F353*(C353/365),F353*(C353/360))*G353)</f>
        <v/>
      </c>
      <c r="K353" s="12" t="str">
        <f t="shared" si="39"/>
        <v/>
      </c>
      <c r="L353" s="130" t="str">
        <f t="shared" si="43"/>
        <v/>
      </c>
      <c r="N353" s="14" t="str">
        <f t="shared" si="44"/>
        <v/>
      </c>
      <c r="S353" s="217" t="str">
        <f t="shared" si="40"/>
        <v/>
      </c>
      <c r="T353" s="218" t="str">
        <f t="shared" si="38"/>
        <v/>
      </c>
      <c r="U353" s="219" t="str">
        <f>IF(S353="","",'Loan Terms'!$H$14)</f>
        <v/>
      </c>
      <c r="V353" s="220" t="str">
        <f t="shared" si="45"/>
        <v/>
      </c>
    </row>
    <row r="354" spans="2:22" ht="14.25" customHeight="1" x14ac:dyDescent="0.2">
      <c r="B354" s="126" t="str">
        <f>IF(OR(B353="",B353='Loan Terms'!$H$9*12),"",B353+1)</f>
        <v/>
      </c>
      <c r="C354" s="128" t="str">
        <f>IF(B354="","",IF('Loan Terms'!$H$15="30/360",30,D354-D353))</f>
        <v/>
      </c>
      <c r="D354" s="129" t="str">
        <f t="shared" si="41"/>
        <v/>
      </c>
      <c r="E354" s="129" t="str">
        <f>IF(B354="","",IF(B354&lt;='Loan Terms'!$G$10,"Yes","No"))</f>
        <v/>
      </c>
      <c r="F354" s="101" t="str">
        <f>IF(B354="","",IF('Loan Terms'!$C$13="Fixed",'Loan Terms'!$H$17,V354))</f>
        <v/>
      </c>
      <c r="G354" s="12" t="str">
        <f t="shared" si="42"/>
        <v/>
      </c>
      <c r="H354" s="12" t="str">
        <f>IF(G354="","",IF('Loan Terms'!$C$13="Fixed",(E354="Yes")*J354+(E354="No")*'Loan Terms'!$H$19,PMT(F354/12,'Loan Terms'!$G$11-B354+1,-G354)))</f>
        <v/>
      </c>
      <c r="I354" s="12" t="str">
        <f>IF(B354="","",IF(B354='Loan Terms'!$H$9*12,G354,H354-J354))</f>
        <v/>
      </c>
      <c r="J354" s="130" t="str">
        <f>IF(B354="","",IF('Loan Terms'!$H$15="Actual/365",F354*(C354/365),F354*(C354/360))*G354)</f>
        <v/>
      </c>
      <c r="K354" s="12" t="str">
        <f t="shared" si="39"/>
        <v/>
      </c>
      <c r="L354" s="130" t="str">
        <f t="shared" si="43"/>
        <v/>
      </c>
      <c r="N354" s="14" t="str">
        <f t="shared" si="44"/>
        <v/>
      </c>
      <c r="S354" s="217" t="str">
        <f t="shared" si="40"/>
        <v/>
      </c>
      <c r="T354" s="218" t="str">
        <f t="shared" si="38"/>
        <v/>
      </c>
      <c r="U354" s="219" t="str">
        <f>IF(S354="","",'Loan Terms'!$H$14)</f>
        <v/>
      </c>
      <c r="V354" s="220" t="str">
        <f t="shared" si="45"/>
        <v/>
      </c>
    </row>
    <row r="355" spans="2:22" ht="14.25" customHeight="1" x14ac:dyDescent="0.2">
      <c r="B355" s="126" t="str">
        <f>IF(OR(B354="",B354='Loan Terms'!$H$9*12),"",B354+1)</f>
        <v/>
      </c>
      <c r="C355" s="128" t="str">
        <f>IF(B355="","",IF('Loan Terms'!$H$15="30/360",30,D355-D354))</f>
        <v/>
      </c>
      <c r="D355" s="129" t="str">
        <f t="shared" si="41"/>
        <v/>
      </c>
      <c r="E355" s="129" t="str">
        <f>IF(B355="","",IF(B355&lt;='Loan Terms'!$G$10,"Yes","No"))</f>
        <v/>
      </c>
      <c r="F355" s="101" t="str">
        <f>IF(B355="","",IF('Loan Terms'!$C$13="Fixed",'Loan Terms'!$H$17,V355))</f>
        <v/>
      </c>
      <c r="G355" s="12" t="str">
        <f t="shared" si="42"/>
        <v/>
      </c>
      <c r="H355" s="12" t="str">
        <f>IF(G355="","",IF('Loan Terms'!$C$13="Fixed",(E355="Yes")*J355+(E355="No")*'Loan Terms'!$H$19,PMT(F355/12,'Loan Terms'!$G$11-B355+1,-G355)))</f>
        <v/>
      </c>
      <c r="I355" s="12" t="str">
        <f>IF(B355="","",IF(B355='Loan Terms'!$H$9*12,G355,H355-J355))</f>
        <v/>
      </c>
      <c r="J355" s="130" t="str">
        <f>IF(B355="","",IF('Loan Terms'!$H$15="Actual/365",F355*(C355/365),F355*(C355/360))*G355)</f>
        <v/>
      </c>
      <c r="K355" s="12" t="str">
        <f t="shared" si="39"/>
        <v/>
      </c>
      <c r="L355" s="130" t="str">
        <f t="shared" si="43"/>
        <v/>
      </c>
      <c r="N355" s="14" t="str">
        <f t="shared" si="44"/>
        <v/>
      </c>
      <c r="S355" s="217" t="str">
        <f t="shared" si="40"/>
        <v/>
      </c>
      <c r="T355" s="218" t="str">
        <f t="shared" si="38"/>
        <v/>
      </c>
      <c r="U355" s="219" t="str">
        <f>IF(S355="","",'Loan Terms'!$H$14)</f>
        <v/>
      </c>
      <c r="V355" s="220" t="str">
        <f t="shared" si="45"/>
        <v/>
      </c>
    </row>
    <row r="356" spans="2:22" ht="14.25" customHeight="1" x14ac:dyDescent="0.2">
      <c r="B356" s="126" t="str">
        <f>IF(OR(B355="",B355='Loan Terms'!$H$9*12),"",B355+1)</f>
        <v/>
      </c>
      <c r="C356" s="128" t="str">
        <f>IF(B356="","",IF('Loan Terms'!$H$15="30/360",30,D356-D355))</f>
        <v/>
      </c>
      <c r="D356" s="129" t="str">
        <f t="shared" si="41"/>
        <v/>
      </c>
      <c r="E356" s="129" t="str">
        <f>IF(B356="","",IF(B356&lt;='Loan Terms'!$G$10,"Yes","No"))</f>
        <v/>
      </c>
      <c r="F356" s="101" t="str">
        <f>IF(B356="","",IF('Loan Terms'!$C$13="Fixed",'Loan Terms'!$H$17,V356))</f>
        <v/>
      </c>
      <c r="G356" s="12" t="str">
        <f t="shared" si="42"/>
        <v/>
      </c>
      <c r="H356" s="12" t="str">
        <f>IF(G356="","",IF('Loan Terms'!$C$13="Fixed",(E356="Yes")*J356+(E356="No")*'Loan Terms'!$H$19,PMT(F356/12,'Loan Terms'!$G$11-B356+1,-G356)))</f>
        <v/>
      </c>
      <c r="I356" s="12" t="str">
        <f>IF(B356="","",IF(B356='Loan Terms'!$H$9*12,G356,H356-J356))</f>
        <v/>
      </c>
      <c r="J356" s="130" t="str">
        <f>IF(B356="","",IF('Loan Terms'!$H$15="Actual/365",F356*(C356/365),F356*(C356/360))*G356)</f>
        <v/>
      </c>
      <c r="K356" s="12" t="str">
        <f t="shared" si="39"/>
        <v/>
      </c>
      <c r="L356" s="130" t="str">
        <f t="shared" si="43"/>
        <v/>
      </c>
      <c r="N356" s="14" t="str">
        <f t="shared" si="44"/>
        <v/>
      </c>
      <c r="S356" s="217" t="str">
        <f t="shared" si="40"/>
        <v/>
      </c>
      <c r="T356" s="218" t="str">
        <f t="shared" si="38"/>
        <v/>
      </c>
      <c r="U356" s="219" t="str">
        <f>IF(S356="","",'Loan Terms'!$H$14)</f>
        <v/>
      </c>
      <c r="V356" s="220" t="str">
        <f t="shared" si="45"/>
        <v/>
      </c>
    </row>
    <row r="357" spans="2:22" ht="14.25" customHeight="1" x14ac:dyDescent="0.2">
      <c r="B357" s="126" t="str">
        <f>IF(OR(B356="",B356='Loan Terms'!$H$9*12),"",B356+1)</f>
        <v/>
      </c>
      <c r="C357" s="128" t="str">
        <f>IF(B357="","",IF('Loan Terms'!$H$15="30/360",30,D357-D356))</f>
        <v/>
      </c>
      <c r="D357" s="129" t="str">
        <f t="shared" si="41"/>
        <v/>
      </c>
      <c r="E357" s="129" t="str">
        <f>IF(B357="","",IF(B357&lt;='Loan Terms'!$G$10,"Yes","No"))</f>
        <v/>
      </c>
      <c r="F357" s="101" t="str">
        <f>IF(B357="","",IF('Loan Terms'!$C$13="Fixed",'Loan Terms'!$H$17,V357))</f>
        <v/>
      </c>
      <c r="G357" s="12" t="str">
        <f t="shared" si="42"/>
        <v/>
      </c>
      <c r="H357" s="12" t="str">
        <f>IF(G357="","",IF('Loan Terms'!$C$13="Fixed",(E357="Yes")*J357+(E357="No")*'Loan Terms'!$H$19,PMT(F357/12,'Loan Terms'!$G$11-B357+1,-G357)))</f>
        <v/>
      </c>
      <c r="I357" s="12" t="str">
        <f>IF(B357="","",IF(B357='Loan Terms'!$H$9*12,G357,H357-J357))</f>
        <v/>
      </c>
      <c r="J357" s="130" t="str">
        <f>IF(B357="","",IF('Loan Terms'!$H$15="Actual/365",F357*(C357/365),F357*(C357/360))*G357)</f>
        <v/>
      </c>
      <c r="K357" s="12" t="str">
        <f t="shared" si="39"/>
        <v/>
      </c>
      <c r="L357" s="130" t="str">
        <f t="shared" si="43"/>
        <v/>
      </c>
      <c r="N357" s="14" t="str">
        <f t="shared" si="44"/>
        <v/>
      </c>
      <c r="S357" s="217" t="str">
        <f t="shared" si="40"/>
        <v/>
      </c>
      <c r="T357" s="218" t="str">
        <f t="shared" si="38"/>
        <v/>
      </c>
      <c r="U357" s="219" t="str">
        <f>IF(S357="","",'Loan Terms'!$H$14)</f>
        <v/>
      </c>
      <c r="V357" s="220" t="str">
        <f t="shared" si="45"/>
        <v/>
      </c>
    </row>
    <row r="358" spans="2:22" ht="14.25" customHeight="1" x14ac:dyDescent="0.2">
      <c r="B358" s="126" t="str">
        <f>IF(OR(B357="",B357='Loan Terms'!$H$9*12),"",B357+1)</f>
        <v/>
      </c>
      <c r="C358" s="128" t="str">
        <f>IF(B358="","",IF('Loan Terms'!$H$15="30/360",30,D358-D357))</f>
        <v/>
      </c>
      <c r="D358" s="129" t="str">
        <f t="shared" si="41"/>
        <v/>
      </c>
      <c r="E358" s="129" t="str">
        <f>IF(B358="","",IF(B358&lt;='Loan Terms'!$G$10,"Yes","No"))</f>
        <v/>
      </c>
      <c r="F358" s="101" t="str">
        <f>IF(B358="","",IF('Loan Terms'!$C$13="Fixed",'Loan Terms'!$H$17,V358))</f>
        <v/>
      </c>
      <c r="G358" s="12" t="str">
        <f t="shared" si="42"/>
        <v/>
      </c>
      <c r="H358" s="12" t="str">
        <f>IF(G358="","",IF('Loan Terms'!$C$13="Fixed",(E358="Yes")*J358+(E358="No")*'Loan Terms'!$H$19,PMT(F358/12,'Loan Terms'!$G$11-B358+1,-G358)))</f>
        <v/>
      </c>
      <c r="I358" s="12" t="str">
        <f>IF(B358="","",IF(B358='Loan Terms'!$H$9*12,G358,H358-J358))</f>
        <v/>
      </c>
      <c r="J358" s="130" t="str">
        <f>IF(B358="","",IF('Loan Terms'!$H$15="Actual/365",F358*(C358/365),F358*(C358/360))*G358)</f>
        <v/>
      </c>
      <c r="K358" s="12" t="str">
        <f t="shared" si="39"/>
        <v/>
      </c>
      <c r="L358" s="130" t="str">
        <f t="shared" si="43"/>
        <v/>
      </c>
      <c r="N358" s="14" t="str">
        <f t="shared" si="44"/>
        <v/>
      </c>
      <c r="S358" s="217" t="str">
        <f t="shared" si="40"/>
        <v/>
      </c>
      <c r="T358" s="218" t="str">
        <f t="shared" si="38"/>
        <v/>
      </c>
      <c r="U358" s="219" t="str">
        <f>IF(S358="","",'Loan Terms'!$H$14)</f>
        <v/>
      </c>
      <c r="V358" s="220" t="str">
        <f t="shared" si="45"/>
        <v/>
      </c>
    </row>
    <row r="359" spans="2:22" ht="14.25" customHeight="1" x14ac:dyDescent="0.2">
      <c r="B359" s="126" t="str">
        <f>IF(OR(B358="",B358='Loan Terms'!$H$9*12),"",B358+1)</f>
        <v/>
      </c>
      <c r="C359" s="128" t="str">
        <f>IF(B359="","",IF('Loan Terms'!$H$15="30/360",30,D359-D358))</f>
        <v/>
      </c>
      <c r="D359" s="129" t="str">
        <f t="shared" si="41"/>
        <v/>
      </c>
      <c r="E359" s="129" t="str">
        <f>IF(B359="","",IF(B359&lt;='Loan Terms'!$G$10,"Yes","No"))</f>
        <v/>
      </c>
      <c r="F359" s="101" t="str">
        <f>IF(B359="","",IF('Loan Terms'!$C$13="Fixed",'Loan Terms'!$H$17,V359))</f>
        <v/>
      </c>
      <c r="G359" s="12" t="str">
        <f t="shared" si="42"/>
        <v/>
      </c>
      <c r="H359" s="12" t="str">
        <f>IF(G359="","",IF('Loan Terms'!$C$13="Fixed",(E359="Yes")*J359+(E359="No")*'Loan Terms'!$H$19,PMT(F359/12,'Loan Terms'!$G$11-B359+1,-G359)))</f>
        <v/>
      </c>
      <c r="I359" s="12" t="str">
        <f>IF(B359="","",IF(B359='Loan Terms'!$H$9*12,G359,H359-J359))</f>
        <v/>
      </c>
      <c r="J359" s="130" t="str">
        <f>IF(B359="","",IF('Loan Terms'!$H$15="Actual/365",F359*(C359/365),F359*(C359/360))*G359)</f>
        <v/>
      </c>
      <c r="K359" s="12" t="str">
        <f t="shared" si="39"/>
        <v/>
      </c>
      <c r="L359" s="130" t="str">
        <f t="shared" si="43"/>
        <v/>
      </c>
      <c r="N359" s="14" t="str">
        <f t="shared" si="44"/>
        <v/>
      </c>
      <c r="S359" s="217" t="str">
        <f t="shared" si="40"/>
        <v/>
      </c>
      <c r="T359" s="218" t="str">
        <f t="shared" si="38"/>
        <v/>
      </c>
      <c r="U359" s="219" t="str">
        <f>IF(S359="","",'Loan Terms'!$H$14)</f>
        <v/>
      </c>
      <c r="V359" s="220" t="str">
        <f t="shared" si="45"/>
        <v/>
      </c>
    </row>
    <row r="360" spans="2:22" ht="14.25" customHeight="1" x14ac:dyDescent="0.2">
      <c r="B360" s="126" t="str">
        <f>IF(OR(B359="",B359='Loan Terms'!$H$9*12),"",B359+1)</f>
        <v/>
      </c>
      <c r="C360" s="128" t="str">
        <f>IF(B360="","",IF('Loan Terms'!$H$15="30/360",30,D360-D359))</f>
        <v/>
      </c>
      <c r="D360" s="129" t="str">
        <f t="shared" si="41"/>
        <v/>
      </c>
      <c r="E360" s="129" t="str">
        <f>IF(B360="","",IF(B360&lt;='Loan Terms'!$G$10,"Yes","No"))</f>
        <v/>
      </c>
      <c r="F360" s="101" t="str">
        <f>IF(B360="","",IF('Loan Terms'!$C$13="Fixed",'Loan Terms'!$H$17,V360))</f>
        <v/>
      </c>
      <c r="G360" s="12" t="str">
        <f t="shared" si="42"/>
        <v/>
      </c>
      <c r="H360" s="12" t="str">
        <f>IF(G360="","",IF('Loan Terms'!$C$13="Fixed",(E360="Yes")*J360+(E360="No")*'Loan Terms'!$H$19,PMT(F360/12,'Loan Terms'!$G$11-B360+1,-G360)))</f>
        <v/>
      </c>
      <c r="I360" s="12" t="str">
        <f>IF(B360="","",IF(B360='Loan Terms'!$H$9*12,G360,H360-J360))</f>
        <v/>
      </c>
      <c r="J360" s="130" t="str">
        <f>IF(B360="","",IF('Loan Terms'!$H$15="Actual/365",F360*(C360/365),F360*(C360/360))*G360)</f>
        <v/>
      </c>
      <c r="K360" s="12" t="str">
        <f t="shared" si="39"/>
        <v/>
      </c>
      <c r="L360" s="130" t="str">
        <f t="shared" si="43"/>
        <v/>
      </c>
      <c r="N360" s="14" t="str">
        <f t="shared" si="44"/>
        <v/>
      </c>
      <c r="S360" s="217" t="str">
        <f t="shared" si="40"/>
        <v/>
      </c>
      <c r="T360" s="218" t="str">
        <f t="shared" si="38"/>
        <v/>
      </c>
      <c r="U360" s="219" t="str">
        <f>IF(S360="","",'Loan Terms'!$H$14)</f>
        <v/>
      </c>
      <c r="V360" s="220" t="str">
        <f t="shared" si="45"/>
        <v/>
      </c>
    </row>
    <row r="361" spans="2:22" ht="14.25" customHeight="1" x14ac:dyDescent="0.2">
      <c r="B361" s="126" t="str">
        <f>IF(OR(B360="",B360='Loan Terms'!$H$9*12),"",B360+1)</f>
        <v/>
      </c>
      <c r="C361" s="128" t="str">
        <f>IF(B361="","",IF('Loan Terms'!$H$15="30/360",30,D361-D360))</f>
        <v/>
      </c>
      <c r="D361" s="129" t="str">
        <f t="shared" si="41"/>
        <v/>
      </c>
      <c r="E361" s="129" t="str">
        <f>IF(B361="","",IF(B361&lt;='Loan Terms'!$G$10,"Yes","No"))</f>
        <v/>
      </c>
      <c r="F361" s="101" t="str">
        <f>IF(B361="","",IF('Loan Terms'!$C$13="Fixed",'Loan Terms'!$H$17,V361))</f>
        <v/>
      </c>
      <c r="G361" s="12" t="str">
        <f t="shared" si="42"/>
        <v/>
      </c>
      <c r="H361" s="12" t="str">
        <f>IF(G361="","",IF('Loan Terms'!$C$13="Fixed",(E361="Yes")*J361+(E361="No")*'Loan Terms'!$H$19,PMT(F361/12,'Loan Terms'!$G$11-B361+1,-G361)))</f>
        <v/>
      </c>
      <c r="I361" s="12" t="str">
        <f>IF(B361="","",IF(B361='Loan Terms'!$H$9*12,G361,H361-J361))</f>
        <v/>
      </c>
      <c r="J361" s="130" t="str">
        <f>IF(B361="","",IF('Loan Terms'!$H$15="Actual/365",F361*(C361/365),F361*(C361/360))*G361)</f>
        <v/>
      </c>
      <c r="K361" s="12" t="str">
        <f t="shared" si="39"/>
        <v/>
      </c>
      <c r="L361" s="130" t="str">
        <f t="shared" si="43"/>
        <v/>
      </c>
      <c r="N361" s="14" t="str">
        <f t="shared" si="44"/>
        <v/>
      </c>
      <c r="S361" s="217" t="str">
        <f t="shared" si="40"/>
        <v/>
      </c>
      <c r="T361" s="218" t="str">
        <f t="shared" si="38"/>
        <v/>
      </c>
      <c r="U361" s="219" t="str">
        <f>IF(S361="","",'Loan Terms'!$H$14)</f>
        <v/>
      </c>
      <c r="V361" s="220" t="str">
        <f t="shared" si="45"/>
        <v/>
      </c>
    </row>
    <row r="362" spans="2:22" ht="14.25" customHeight="1" x14ac:dyDescent="0.2">
      <c r="B362" s="126" t="str">
        <f>IF(OR(B361="",B361='Loan Terms'!$H$9*12),"",B361+1)</f>
        <v/>
      </c>
      <c r="C362" s="128" t="str">
        <f>IF(B362="","",IF('Loan Terms'!$H$15="30/360",30,D362-D361))</f>
        <v/>
      </c>
      <c r="D362" s="129" t="str">
        <f t="shared" si="41"/>
        <v/>
      </c>
      <c r="E362" s="129" t="str">
        <f>IF(B362="","",IF(B362&lt;='Loan Terms'!$G$10,"Yes","No"))</f>
        <v/>
      </c>
      <c r="F362" s="101" t="str">
        <f>IF(B362="","",IF('Loan Terms'!$C$13="Fixed",'Loan Terms'!$H$17,V362))</f>
        <v/>
      </c>
      <c r="G362" s="12" t="str">
        <f t="shared" si="42"/>
        <v/>
      </c>
      <c r="H362" s="12" t="str">
        <f>IF(G362="","",IF('Loan Terms'!$C$13="Fixed",(E362="Yes")*J362+(E362="No")*'Loan Terms'!$H$19,PMT(F362/12,'Loan Terms'!$G$11-B362+1,-G362)))</f>
        <v/>
      </c>
      <c r="I362" s="12" t="str">
        <f>IF(B362="","",IF(B362='Loan Terms'!$H$9*12,G362,H362-J362))</f>
        <v/>
      </c>
      <c r="J362" s="130" t="str">
        <f>IF(B362="","",IF('Loan Terms'!$H$15="Actual/365",F362*(C362/365),F362*(C362/360))*G362)</f>
        <v/>
      </c>
      <c r="K362" s="12" t="str">
        <f t="shared" si="39"/>
        <v/>
      </c>
      <c r="L362" s="130" t="str">
        <f t="shared" si="43"/>
        <v/>
      </c>
      <c r="N362" s="14" t="str">
        <f t="shared" si="44"/>
        <v/>
      </c>
      <c r="S362" s="217" t="str">
        <f t="shared" si="40"/>
        <v/>
      </c>
      <c r="T362" s="218" t="str">
        <f t="shared" si="38"/>
        <v/>
      </c>
      <c r="U362" s="219" t="str">
        <f>IF(S362="","",'Loan Terms'!$H$14)</f>
        <v/>
      </c>
      <c r="V362" s="220" t="str">
        <f t="shared" si="45"/>
        <v/>
      </c>
    </row>
    <row r="363" spans="2:22" ht="14.25" customHeight="1" x14ac:dyDescent="0.2">
      <c r="B363" s="126" t="str">
        <f>IF(OR(B362="",B362='Loan Terms'!$H$9*12),"",B362+1)</f>
        <v/>
      </c>
      <c r="C363" s="128" t="str">
        <f>IF(B363="","",IF('Loan Terms'!$H$15="30/360",30,D363-D362))</f>
        <v/>
      </c>
      <c r="D363" s="129" t="str">
        <f t="shared" si="41"/>
        <v/>
      </c>
      <c r="E363" s="129" t="str">
        <f>IF(B363="","",IF(B363&lt;='Loan Terms'!$G$10,"Yes","No"))</f>
        <v/>
      </c>
      <c r="F363" s="101" t="str">
        <f>IF(B363="","",IF('Loan Terms'!$C$13="Fixed",'Loan Terms'!$H$17,V363))</f>
        <v/>
      </c>
      <c r="G363" s="12" t="str">
        <f t="shared" si="42"/>
        <v/>
      </c>
      <c r="H363" s="12" t="str">
        <f>IF(G363="","",IF('Loan Terms'!$C$13="Fixed",(E363="Yes")*J363+(E363="No")*'Loan Terms'!$H$19,PMT(F363/12,'Loan Terms'!$G$11-B363+1,-G363)))</f>
        <v/>
      </c>
      <c r="I363" s="12" t="str">
        <f>IF(B363="","",IF(B363='Loan Terms'!$H$9*12,G363,H363-J363))</f>
        <v/>
      </c>
      <c r="J363" s="130" t="str">
        <f>IF(B363="","",IF('Loan Terms'!$H$15="Actual/365",F363*(C363/365),F363*(C363/360))*G363)</f>
        <v/>
      </c>
      <c r="K363" s="12" t="str">
        <f t="shared" si="39"/>
        <v/>
      </c>
      <c r="L363" s="130" t="str">
        <f t="shared" si="43"/>
        <v/>
      </c>
      <c r="N363" s="14" t="str">
        <f t="shared" si="44"/>
        <v/>
      </c>
      <c r="S363" s="217" t="str">
        <f t="shared" si="40"/>
        <v/>
      </c>
      <c r="T363" s="218" t="str">
        <f t="shared" si="38"/>
        <v/>
      </c>
      <c r="U363" s="219" t="str">
        <f>IF(S363="","",'Loan Terms'!$H$14)</f>
        <v/>
      </c>
      <c r="V363" s="220" t="str">
        <f t="shared" si="45"/>
        <v/>
      </c>
    </row>
    <row r="364" spans="2:22" ht="14.25" customHeight="1" x14ac:dyDescent="0.2">
      <c r="B364" s="126" t="str">
        <f>IF(OR(B363="",B363='Loan Terms'!$H$9*12),"",B363+1)</f>
        <v/>
      </c>
      <c r="C364" s="128" t="str">
        <f>IF(B364="","",IF('Loan Terms'!$H$15="30/360",30,D364-D363))</f>
        <v/>
      </c>
      <c r="D364" s="129" t="str">
        <f t="shared" si="41"/>
        <v/>
      </c>
      <c r="E364" s="129" t="str">
        <f>IF(B364="","",IF(B364&lt;='Loan Terms'!$G$10,"Yes","No"))</f>
        <v/>
      </c>
      <c r="F364" s="101" t="str">
        <f>IF(B364="","",IF('Loan Terms'!$C$13="Fixed",'Loan Terms'!$H$17,V364))</f>
        <v/>
      </c>
      <c r="G364" s="12" t="str">
        <f t="shared" si="42"/>
        <v/>
      </c>
      <c r="H364" s="12" t="str">
        <f>IF(G364="","",IF('Loan Terms'!$C$13="Fixed",(E364="Yes")*J364+(E364="No")*'Loan Terms'!$H$19,PMT(F364/12,'Loan Terms'!$G$11-B364+1,-G364)))</f>
        <v/>
      </c>
      <c r="I364" s="12" t="str">
        <f>IF(B364="","",IF(B364='Loan Terms'!$H$9*12,G364,H364-J364))</f>
        <v/>
      </c>
      <c r="J364" s="130" t="str">
        <f>IF(B364="","",IF('Loan Terms'!$H$15="Actual/365",F364*(C364/365),F364*(C364/360))*G364)</f>
        <v/>
      </c>
      <c r="K364" s="12" t="str">
        <f t="shared" si="39"/>
        <v/>
      </c>
      <c r="L364" s="130" t="str">
        <f t="shared" si="43"/>
        <v/>
      </c>
      <c r="N364" s="14" t="str">
        <f t="shared" si="44"/>
        <v/>
      </c>
      <c r="S364" s="217" t="str">
        <f t="shared" si="40"/>
        <v/>
      </c>
      <c r="T364" s="218" t="str">
        <f t="shared" si="38"/>
        <v/>
      </c>
      <c r="U364" s="219" t="str">
        <f>IF(S364="","",'Loan Terms'!$H$14)</f>
        <v/>
      </c>
      <c r="V364" s="220" t="str">
        <f t="shared" si="45"/>
        <v/>
      </c>
    </row>
    <row r="365" spans="2:22" ht="14.25" customHeight="1" x14ac:dyDescent="0.2">
      <c r="B365" s="126" t="str">
        <f>IF(OR(B364="",B364='Loan Terms'!$H$9*12),"",B364+1)</f>
        <v/>
      </c>
      <c r="C365" s="128" t="str">
        <f>IF(B365="","",IF('Loan Terms'!$H$15="30/360",30,D365-D364))</f>
        <v/>
      </c>
      <c r="D365" s="129" t="str">
        <f t="shared" si="41"/>
        <v/>
      </c>
      <c r="E365" s="129" t="str">
        <f>IF(B365="","",IF(B365&lt;='Loan Terms'!$G$10,"Yes","No"))</f>
        <v/>
      </c>
      <c r="F365" s="101" t="str">
        <f>IF(B365="","",IF('Loan Terms'!$C$13="Fixed",'Loan Terms'!$H$17,V365))</f>
        <v/>
      </c>
      <c r="G365" s="12" t="str">
        <f t="shared" si="42"/>
        <v/>
      </c>
      <c r="H365" s="12" t="str">
        <f>IF(G365="","",IF('Loan Terms'!$C$13="Fixed",(E365="Yes")*J365+(E365="No")*'Loan Terms'!$H$19,PMT(F365/12,'Loan Terms'!$G$11-B365+1,-G365)))</f>
        <v/>
      </c>
      <c r="I365" s="12" t="str">
        <f>IF(B365="","",IF(B365='Loan Terms'!$H$9*12,G365,H365-J365))</f>
        <v/>
      </c>
      <c r="J365" s="130" t="str">
        <f>IF(B365="","",IF('Loan Terms'!$H$15="Actual/365",F365*(C365/365),F365*(C365/360))*G365)</f>
        <v/>
      </c>
      <c r="K365" s="12" t="str">
        <f t="shared" si="39"/>
        <v/>
      </c>
      <c r="L365" s="130" t="str">
        <f t="shared" si="43"/>
        <v/>
      </c>
      <c r="N365" s="14" t="str">
        <f t="shared" si="44"/>
        <v/>
      </c>
      <c r="S365" s="217" t="str">
        <f t="shared" si="40"/>
        <v/>
      </c>
      <c r="T365" s="218" t="str">
        <f t="shared" si="38"/>
        <v/>
      </c>
      <c r="U365" s="219" t="str">
        <f>IF(S365="","",'Loan Terms'!$H$14)</f>
        <v/>
      </c>
      <c r="V365" s="220" t="str">
        <f t="shared" si="45"/>
        <v/>
      </c>
    </row>
    <row r="366" spans="2:22" ht="14.25" customHeight="1" x14ac:dyDescent="0.2">
      <c r="B366" s="126" t="str">
        <f>IF(OR(B365="",B365='Loan Terms'!$H$9*12),"",B365+1)</f>
        <v/>
      </c>
      <c r="C366" s="128" t="str">
        <f>IF(B366="","",IF('Loan Terms'!$H$15="30/360",30,D366-D365))</f>
        <v/>
      </c>
      <c r="D366" s="129" t="str">
        <f t="shared" si="41"/>
        <v/>
      </c>
      <c r="E366" s="129" t="str">
        <f>IF(B366="","",IF(B366&lt;='Loan Terms'!$G$10,"Yes","No"))</f>
        <v/>
      </c>
      <c r="F366" s="101" t="str">
        <f>IF(B366="","",IF('Loan Terms'!$C$13="Fixed",'Loan Terms'!$H$17,V366))</f>
        <v/>
      </c>
      <c r="G366" s="12" t="str">
        <f t="shared" si="42"/>
        <v/>
      </c>
      <c r="H366" s="12" t="str">
        <f>IF(G366="","",IF('Loan Terms'!$C$13="Fixed",(E366="Yes")*J366+(E366="No")*'Loan Terms'!$H$19,PMT(F366/12,'Loan Terms'!$G$11-B366+1,-G366)))</f>
        <v/>
      </c>
      <c r="I366" s="12" t="str">
        <f>IF(B366="","",IF(B366='Loan Terms'!$H$9*12,G366,H366-J366))</f>
        <v/>
      </c>
      <c r="J366" s="130" t="str">
        <f>IF(B366="","",IF('Loan Terms'!$H$15="Actual/365",F366*(C366/365),F366*(C366/360))*G366)</f>
        <v/>
      </c>
      <c r="K366" s="12" t="str">
        <f t="shared" si="39"/>
        <v/>
      </c>
      <c r="L366" s="130" t="str">
        <f t="shared" si="43"/>
        <v/>
      </c>
      <c r="N366" s="14" t="str">
        <f t="shared" si="44"/>
        <v/>
      </c>
      <c r="S366" s="217" t="str">
        <f t="shared" si="40"/>
        <v/>
      </c>
      <c r="T366" s="218" t="str">
        <f t="shared" si="38"/>
        <v/>
      </c>
      <c r="U366" s="219" t="str">
        <f>IF(S366="","",'Loan Terms'!$H$14)</f>
        <v/>
      </c>
      <c r="V366" s="220" t="str">
        <f t="shared" si="45"/>
        <v/>
      </c>
    </row>
    <row r="367" spans="2:22" ht="14.25" customHeight="1" x14ac:dyDescent="0.2">
      <c r="B367" s="126" t="str">
        <f>IF(OR(B366="",B366='Loan Terms'!$H$9*12),"",B366+1)</f>
        <v/>
      </c>
      <c r="C367" s="128" t="str">
        <f>IF(B367="","",IF('Loan Terms'!$H$15="30/360",30,D367-D366))</f>
        <v/>
      </c>
      <c r="D367" s="129" t="str">
        <f t="shared" si="41"/>
        <v/>
      </c>
      <c r="E367" s="129" t="str">
        <f>IF(B367="","",IF(B367&lt;='Loan Terms'!$G$10,"Yes","No"))</f>
        <v/>
      </c>
      <c r="F367" s="101" t="str">
        <f>IF(B367="","",IF('Loan Terms'!$C$13="Fixed",'Loan Terms'!$H$17,V367))</f>
        <v/>
      </c>
      <c r="G367" s="12" t="str">
        <f t="shared" si="42"/>
        <v/>
      </c>
      <c r="H367" s="12" t="str">
        <f>IF(G367="","",IF('Loan Terms'!$C$13="Fixed",(E367="Yes")*J367+(E367="No")*'Loan Terms'!$H$19,PMT(F367/12,'Loan Terms'!$G$11-B367+1,-G367)))</f>
        <v/>
      </c>
      <c r="I367" s="12" t="str">
        <f>IF(B367="","",IF(B367='Loan Terms'!$H$9*12,G367,H367-J367))</f>
        <v/>
      </c>
      <c r="J367" s="130" t="str">
        <f>IF(B367="","",IF('Loan Terms'!$H$15="Actual/365",F367*(C367/365),F367*(C367/360))*G367)</f>
        <v/>
      </c>
      <c r="K367" s="12" t="str">
        <f t="shared" si="39"/>
        <v/>
      </c>
      <c r="L367" s="130" t="str">
        <f t="shared" si="43"/>
        <v/>
      </c>
      <c r="N367" s="14" t="str">
        <f t="shared" si="44"/>
        <v/>
      </c>
      <c r="S367" s="217" t="str">
        <f t="shared" si="40"/>
        <v/>
      </c>
      <c r="T367" s="218" t="str">
        <f t="shared" si="38"/>
        <v/>
      </c>
      <c r="U367" s="219" t="str">
        <f>IF(S367="","",'Loan Terms'!$H$14)</f>
        <v/>
      </c>
      <c r="V367" s="220" t="str">
        <f t="shared" si="45"/>
        <v/>
      </c>
    </row>
    <row r="368" spans="2:22" ht="14.25" customHeight="1" x14ac:dyDescent="0.2">
      <c r="B368" s="126" t="str">
        <f>IF(OR(B367="",B367='Loan Terms'!$H$9*12),"",B367+1)</f>
        <v/>
      </c>
      <c r="C368" s="128" t="str">
        <f>IF(B368="","",IF('Loan Terms'!$H$15="30/360",30,D368-D367))</f>
        <v/>
      </c>
      <c r="D368" s="129" t="str">
        <f t="shared" si="41"/>
        <v/>
      </c>
      <c r="E368" s="129" t="str">
        <f>IF(B368="","",IF(B368&lt;='Loan Terms'!$G$10,"Yes","No"))</f>
        <v/>
      </c>
      <c r="F368" s="101" t="str">
        <f>IF(B368="","",IF('Loan Terms'!$C$13="Fixed",'Loan Terms'!$H$17,V368))</f>
        <v/>
      </c>
      <c r="G368" s="12" t="str">
        <f t="shared" si="42"/>
        <v/>
      </c>
      <c r="H368" s="12" t="str">
        <f>IF(G368="","",IF('Loan Terms'!$C$13="Fixed",(E368="Yes")*J368+(E368="No")*'Loan Terms'!$H$19,PMT(F368/12,'Loan Terms'!$G$11-B368+1,-G368)))</f>
        <v/>
      </c>
      <c r="I368" s="12" t="str">
        <f>IF(B368="","",IF(B368='Loan Terms'!$H$9*12,G368,H368-J368))</f>
        <v/>
      </c>
      <c r="J368" s="130" t="str">
        <f>IF(B368="","",IF('Loan Terms'!$H$15="Actual/365",F368*(C368/365),F368*(C368/360))*G368)</f>
        <v/>
      </c>
      <c r="K368" s="12" t="str">
        <f t="shared" si="39"/>
        <v/>
      </c>
      <c r="L368" s="130" t="str">
        <f t="shared" si="43"/>
        <v/>
      </c>
      <c r="N368" s="14" t="str">
        <f t="shared" si="44"/>
        <v/>
      </c>
      <c r="S368" s="217" t="str">
        <f t="shared" si="40"/>
        <v/>
      </c>
      <c r="T368" s="218" t="str">
        <f t="shared" si="38"/>
        <v/>
      </c>
      <c r="U368" s="219" t="str">
        <f>IF(S368="","",'Loan Terms'!$H$14)</f>
        <v/>
      </c>
      <c r="V368" s="220" t="str">
        <f t="shared" si="45"/>
        <v/>
      </c>
    </row>
    <row r="369" spans="2:22" ht="14.25" customHeight="1" x14ac:dyDescent="0.2">
      <c r="B369" s="126" t="str">
        <f>IF(OR(B368="",B368='Loan Terms'!$H$9*12),"",B368+1)</f>
        <v/>
      </c>
      <c r="C369" s="128" t="str">
        <f>IF(B369="","",IF('Loan Terms'!$H$15="30/360",30,D369-D368))</f>
        <v/>
      </c>
      <c r="D369" s="129" t="str">
        <f t="shared" si="41"/>
        <v/>
      </c>
      <c r="E369" s="129" t="str">
        <f>IF(B369="","",IF(B369&lt;='Loan Terms'!$G$10,"Yes","No"))</f>
        <v/>
      </c>
      <c r="F369" s="101" t="str">
        <f>IF(B369="","",IF('Loan Terms'!$C$13="Fixed",'Loan Terms'!$H$17,V369))</f>
        <v/>
      </c>
      <c r="G369" s="12" t="str">
        <f t="shared" si="42"/>
        <v/>
      </c>
      <c r="H369" s="12" t="str">
        <f>IF(G369="","",IF('Loan Terms'!$C$13="Fixed",(E369="Yes")*J369+(E369="No")*'Loan Terms'!$H$19,PMT(F369/12,'Loan Terms'!$G$11-B369+1,-G369)))</f>
        <v/>
      </c>
      <c r="I369" s="12" t="str">
        <f>IF(B369="","",IF(B369='Loan Terms'!$H$9*12,G369,H369-J369))</f>
        <v/>
      </c>
      <c r="J369" s="130" t="str">
        <f>IF(B369="","",IF('Loan Terms'!$H$15="Actual/365",F369*(C369/365),F369*(C369/360))*G369)</f>
        <v/>
      </c>
      <c r="K369" s="12" t="str">
        <f t="shared" si="39"/>
        <v/>
      </c>
      <c r="L369" s="130" t="str">
        <f t="shared" si="43"/>
        <v/>
      </c>
      <c r="N369" s="14" t="str">
        <f t="shared" si="44"/>
        <v/>
      </c>
      <c r="S369" s="217" t="str">
        <f t="shared" si="40"/>
        <v/>
      </c>
      <c r="T369" s="218" t="str">
        <f t="shared" si="38"/>
        <v/>
      </c>
      <c r="U369" s="219" t="str">
        <f>IF(S369="","",'Loan Terms'!$H$14)</f>
        <v/>
      </c>
      <c r="V369" s="220" t="str">
        <f t="shared" si="45"/>
        <v/>
      </c>
    </row>
    <row r="370" spans="2:22" ht="14.25" customHeight="1" x14ac:dyDescent="0.2">
      <c r="B370" s="126" t="str">
        <f>IF(OR(B369="",B369='Loan Terms'!$H$9*12),"",B369+1)</f>
        <v/>
      </c>
      <c r="C370" s="128" t="str">
        <f>IF(B370="","",IF('Loan Terms'!$H$15="30/360",30,D370-D369))</f>
        <v/>
      </c>
      <c r="D370" s="129" t="str">
        <f t="shared" si="41"/>
        <v/>
      </c>
      <c r="E370" s="129" t="str">
        <f>IF(B370="","",IF(B370&lt;='Loan Terms'!$G$10,"Yes","No"))</f>
        <v/>
      </c>
      <c r="F370" s="101" t="str">
        <f>IF(B370="","",IF('Loan Terms'!$C$13="Fixed",'Loan Terms'!$H$17,V370))</f>
        <v/>
      </c>
      <c r="G370" s="12" t="str">
        <f t="shared" si="42"/>
        <v/>
      </c>
      <c r="H370" s="12" t="str">
        <f>IF(G370="","",IF('Loan Terms'!$C$13="Fixed",(E370="Yes")*J370+(E370="No")*'Loan Terms'!$H$19,PMT(F370/12,'Loan Terms'!$G$11-B370+1,-G370)))</f>
        <v/>
      </c>
      <c r="I370" s="12" t="str">
        <f>IF(B370="","",IF(B370='Loan Terms'!$H$9*12,G370,H370-J370))</f>
        <v/>
      </c>
      <c r="J370" s="130" t="str">
        <f>IF(B370="","",IF('Loan Terms'!$H$15="Actual/365",F370*(C370/365),F370*(C370/360))*G370)</f>
        <v/>
      </c>
      <c r="K370" s="12" t="str">
        <f t="shared" si="39"/>
        <v/>
      </c>
      <c r="L370" s="130" t="str">
        <f t="shared" si="43"/>
        <v/>
      </c>
      <c r="N370" s="14" t="str">
        <f t="shared" si="44"/>
        <v/>
      </c>
      <c r="S370" s="217" t="str">
        <f t="shared" si="40"/>
        <v/>
      </c>
      <c r="T370" s="218" t="str">
        <f t="shared" si="38"/>
        <v/>
      </c>
      <c r="U370" s="219" t="str">
        <f>IF(S370="","",'Loan Terms'!$H$14)</f>
        <v/>
      </c>
      <c r="V370" s="220" t="str">
        <f t="shared" si="45"/>
        <v/>
      </c>
    </row>
    <row r="371" spans="2:22" ht="14.25" customHeight="1" x14ac:dyDescent="0.2">
      <c r="B371" s="126" t="str">
        <f>IF(OR(B370="",B370='Loan Terms'!$H$9*12),"",B370+1)</f>
        <v/>
      </c>
      <c r="C371" s="128" t="str">
        <f>IF(B371="","",IF('Loan Terms'!$H$15="30/360",30,D371-D370))</f>
        <v/>
      </c>
      <c r="D371" s="129" t="str">
        <f t="shared" si="41"/>
        <v/>
      </c>
      <c r="E371" s="129" t="str">
        <f>IF(B371="","",IF(B371&lt;='Loan Terms'!$G$10,"Yes","No"))</f>
        <v/>
      </c>
      <c r="F371" s="101" t="str">
        <f>IF(B371="","",IF('Loan Terms'!$C$13="Fixed",'Loan Terms'!$H$17,V371))</f>
        <v/>
      </c>
      <c r="G371" s="12" t="str">
        <f t="shared" si="42"/>
        <v/>
      </c>
      <c r="H371" s="12" t="str">
        <f>IF(G371="","",IF('Loan Terms'!$C$13="Fixed",(E371="Yes")*J371+(E371="No")*'Loan Terms'!$H$19,PMT(F371/12,'Loan Terms'!$G$11-B371+1,-G371)))</f>
        <v/>
      </c>
      <c r="I371" s="12" t="str">
        <f>IF(B371="","",IF(B371='Loan Terms'!$H$9*12,G371,H371-J371))</f>
        <v/>
      </c>
      <c r="J371" s="130" t="str">
        <f>IF(B371="","",IF('Loan Terms'!$H$15="Actual/365",F371*(C371/365),F371*(C371/360))*G371)</f>
        <v/>
      </c>
      <c r="K371" s="12" t="str">
        <f t="shared" si="39"/>
        <v/>
      </c>
      <c r="L371" s="130" t="str">
        <f t="shared" si="43"/>
        <v/>
      </c>
      <c r="N371" s="14" t="str">
        <f t="shared" si="44"/>
        <v/>
      </c>
      <c r="S371" s="217" t="str">
        <f t="shared" si="40"/>
        <v/>
      </c>
      <c r="T371" s="218" t="str">
        <f t="shared" si="38"/>
        <v/>
      </c>
      <c r="U371" s="219" t="str">
        <f>IF(S371="","",'Loan Terms'!$H$14)</f>
        <v/>
      </c>
      <c r="V371" s="220" t="str">
        <f t="shared" si="45"/>
        <v/>
      </c>
    </row>
    <row r="372" spans="2:22" ht="14.25" customHeight="1" x14ac:dyDescent="0.2">
      <c r="B372" s="126" t="str">
        <f>IF(OR(B371="",B371='Loan Terms'!$H$9*12),"",B371+1)</f>
        <v/>
      </c>
      <c r="C372" s="128" t="str">
        <f>IF(B372="","",IF('Loan Terms'!$H$15="30/360",30,D372-D371))</f>
        <v/>
      </c>
      <c r="D372" s="129" t="str">
        <f t="shared" si="41"/>
        <v/>
      </c>
      <c r="E372" s="129" t="str">
        <f>IF(B372="","",IF(B372&lt;='Loan Terms'!$G$10,"Yes","No"))</f>
        <v/>
      </c>
      <c r="F372" s="101" t="str">
        <f>IF(B372="","",IF('Loan Terms'!$C$13="Fixed",'Loan Terms'!$H$17,V372))</f>
        <v/>
      </c>
      <c r="G372" s="12" t="str">
        <f t="shared" si="42"/>
        <v/>
      </c>
      <c r="H372" s="12" t="str">
        <f>IF(G372="","",IF('Loan Terms'!$C$13="Fixed",(E372="Yes")*J372+(E372="No")*'Loan Terms'!$H$19,PMT(F372/12,'Loan Terms'!$G$11-B372+1,-G372)))</f>
        <v/>
      </c>
      <c r="I372" s="12" t="str">
        <f>IF(B372="","",IF(B372='Loan Terms'!$H$9*12,G372,H372-J372))</f>
        <v/>
      </c>
      <c r="J372" s="130" t="str">
        <f>IF(B372="","",IF('Loan Terms'!$H$15="Actual/365",F372*(C372/365),F372*(C372/360))*G372)</f>
        <v/>
      </c>
      <c r="K372" s="12" t="str">
        <f t="shared" si="39"/>
        <v/>
      </c>
      <c r="L372" s="130" t="str">
        <f t="shared" si="43"/>
        <v/>
      </c>
      <c r="N372" s="14" t="str">
        <f t="shared" si="44"/>
        <v/>
      </c>
      <c r="S372" s="217" t="str">
        <f t="shared" si="40"/>
        <v/>
      </c>
      <c r="T372" s="218" t="str">
        <f t="shared" si="38"/>
        <v/>
      </c>
      <c r="U372" s="219" t="str">
        <f>IF(S372="","",'Loan Terms'!$H$14)</f>
        <v/>
      </c>
      <c r="V372" s="220" t="str">
        <f t="shared" si="45"/>
        <v/>
      </c>
    </row>
    <row r="373" spans="2:22" ht="14.25" customHeight="1" x14ac:dyDescent="0.2">
      <c r="B373" s="126" t="str">
        <f>IF(OR(B372="",B372='Loan Terms'!$H$9*12),"",B372+1)</f>
        <v/>
      </c>
      <c r="C373" s="128" t="str">
        <f>IF(B373="","",IF('Loan Terms'!$H$15="30/360",30,D373-D372))</f>
        <v/>
      </c>
      <c r="D373" s="129" t="str">
        <f t="shared" si="41"/>
        <v/>
      </c>
      <c r="E373" s="129" t="str">
        <f>IF(B373="","",IF(B373&lt;='Loan Terms'!$G$10,"Yes","No"))</f>
        <v/>
      </c>
      <c r="F373" s="101" t="str">
        <f>IF(B373="","",IF('Loan Terms'!$C$13="Fixed",'Loan Terms'!$H$17,V373))</f>
        <v/>
      </c>
      <c r="G373" s="12" t="str">
        <f t="shared" si="42"/>
        <v/>
      </c>
      <c r="H373" s="12" t="str">
        <f>IF(G373="","",IF('Loan Terms'!$C$13="Fixed",(E373="Yes")*J373+(E373="No")*'Loan Terms'!$H$19,PMT(F373/12,'Loan Terms'!$G$11-B373+1,-G373)))</f>
        <v/>
      </c>
      <c r="I373" s="12" t="str">
        <f>IF(B373="","",IF(B373='Loan Terms'!$H$9*12,G373,H373-J373))</f>
        <v/>
      </c>
      <c r="J373" s="130" t="str">
        <f>IF(B373="","",IF('Loan Terms'!$H$15="Actual/365",F373*(C373/365),F373*(C373/360))*G373)</f>
        <v/>
      </c>
      <c r="K373" s="12" t="str">
        <f t="shared" si="39"/>
        <v/>
      </c>
      <c r="L373" s="130" t="str">
        <f t="shared" si="43"/>
        <v/>
      </c>
      <c r="N373" s="14" t="str">
        <f t="shared" si="44"/>
        <v/>
      </c>
      <c r="S373" s="217" t="str">
        <f t="shared" si="40"/>
        <v/>
      </c>
      <c r="T373" s="218" t="str">
        <f t="shared" si="38"/>
        <v/>
      </c>
      <c r="U373" s="219" t="str">
        <f>IF(S373="","",'Loan Terms'!$H$14)</f>
        <v/>
      </c>
      <c r="V373" s="220" t="str">
        <f t="shared" si="45"/>
        <v/>
      </c>
    </row>
    <row r="374" spans="2:22" ht="14.25" customHeight="1" x14ac:dyDescent="0.2">
      <c r="B374" s="126" t="str">
        <f>IF(OR(B373="",B373='Loan Terms'!$H$9*12),"",B373+1)</f>
        <v/>
      </c>
      <c r="C374" s="128" t="str">
        <f>IF(B374="","",IF('Loan Terms'!$H$15="30/360",30,D374-D373))</f>
        <v/>
      </c>
      <c r="D374" s="129" t="str">
        <f t="shared" si="41"/>
        <v/>
      </c>
      <c r="E374" s="129" t="str">
        <f>IF(B374="","",IF(B374&lt;='Loan Terms'!$G$10,"Yes","No"))</f>
        <v/>
      </c>
      <c r="F374" s="101" t="str">
        <f>IF(B374="","",IF('Loan Terms'!$C$13="Fixed",'Loan Terms'!$H$17,V374))</f>
        <v/>
      </c>
      <c r="G374" s="12" t="str">
        <f t="shared" si="42"/>
        <v/>
      </c>
      <c r="H374" s="12" t="str">
        <f>IF(G374="","",IF('Loan Terms'!$C$13="Fixed",(E374="Yes")*J374+(E374="No")*'Loan Terms'!$H$19,PMT(F374/12,'Loan Terms'!$G$11-B374+1,-G374)))</f>
        <v/>
      </c>
      <c r="I374" s="12" t="str">
        <f>IF(B374="","",IF(B374='Loan Terms'!$H$9*12,G374,H374-J374))</f>
        <v/>
      </c>
      <c r="J374" s="130" t="str">
        <f>IF(B374="","",IF('Loan Terms'!$H$15="Actual/365",F374*(C374/365),F374*(C374/360))*G374)</f>
        <v/>
      </c>
      <c r="K374" s="12" t="str">
        <f t="shared" si="39"/>
        <v/>
      </c>
      <c r="L374" s="130" t="str">
        <f t="shared" si="43"/>
        <v/>
      </c>
      <c r="N374" s="14" t="str">
        <f t="shared" si="44"/>
        <v/>
      </c>
      <c r="S374" s="217" t="str">
        <f t="shared" si="40"/>
        <v/>
      </c>
      <c r="T374" s="218" t="str">
        <f t="shared" si="38"/>
        <v/>
      </c>
      <c r="U374" s="219" t="str">
        <f>IF(S374="","",'Loan Terms'!$H$14)</f>
        <v/>
      </c>
      <c r="V374" s="220" t="str">
        <f t="shared" si="45"/>
        <v/>
      </c>
    </row>
    <row r="375" spans="2:22" ht="14.25" customHeight="1" x14ac:dyDescent="0.2">
      <c r="B375" s="126" t="str">
        <f>IF(OR(B374="",B374='Loan Terms'!$H$9*12),"",B374+1)</f>
        <v/>
      </c>
      <c r="C375" s="128" t="str">
        <f>IF(B375="","",IF('Loan Terms'!$H$15="30/360",30,D375-D374))</f>
        <v/>
      </c>
      <c r="D375" s="129" t="str">
        <f t="shared" si="41"/>
        <v/>
      </c>
      <c r="E375" s="129" t="str">
        <f>IF(B375="","",IF(B375&lt;='Loan Terms'!$G$10,"Yes","No"))</f>
        <v/>
      </c>
      <c r="F375" s="101" t="str">
        <f>IF(B375="","",IF('Loan Terms'!$C$13="Fixed",'Loan Terms'!$H$17,V375))</f>
        <v/>
      </c>
      <c r="G375" s="12" t="str">
        <f t="shared" si="42"/>
        <v/>
      </c>
      <c r="H375" s="12" t="str">
        <f>IF(G375="","",IF('Loan Terms'!$C$13="Fixed",(E375="Yes")*J375+(E375="No")*'Loan Terms'!$H$19,PMT(F375/12,'Loan Terms'!$G$11-B375+1,-G375)))</f>
        <v/>
      </c>
      <c r="I375" s="12" t="str">
        <f>IF(B375="","",IF(B375='Loan Terms'!$H$9*12,G375,H375-J375))</f>
        <v/>
      </c>
      <c r="J375" s="130" t="str">
        <f>IF(B375="","",IF('Loan Terms'!$H$15="Actual/365",F375*(C375/365),F375*(C375/360))*G375)</f>
        <v/>
      </c>
      <c r="K375" s="12" t="str">
        <f t="shared" si="39"/>
        <v/>
      </c>
      <c r="L375" s="130" t="str">
        <f t="shared" si="43"/>
        <v/>
      </c>
      <c r="N375" s="14" t="str">
        <f t="shared" si="44"/>
        <v/>
      </c>
      <c r="S375" s="217" t="str">
        <f t="shared" si="40"/>
        <v/>
      </c>
      <c r="T375" s="218" t="str">
        <f t="shared" si="38"/>
        <v/>
      </c>
      <c r="U375" s="219" t="str">
        <f>IF(S375="","",'Loan Terms'!$H$14)</f>
        <v/>
      </c>
      <c r="V375" s="220" t="str">
        <f t="shared" si="45"/>
        <v/>
      </c>
    </row>
    <row r="376" spans="2:22" ht="14.25" customHeight="1" x14ac:dyDescent="0.2">
      <c r="B376" s="126" t="str">
        <f>IF(OR(B375="",B375='Loan Terms'!$H$9*12),"",B375+1)</f>
        <v/>
      </c>
      <c r="C376" s="128" t="str">
        <f>IF(B376="","",IF('Loan Terms'!$H$15="30/360",30,D376-D375))</f>
        <v/>
      </c>
      <c r="D376" s="129" t="str">
        <f t="shared" si="41"/>
        <v/>
      </c>
      <c r="E376" s="129" t="str">
        <f>IF(B376="","",IF(B376&lt;='Loan Terms'!$G$10,"Yes","No"))</f>
        <v/>
      </c>
      <c r="F376" s="101" t="str">
        <f>IF(B376="","",IF('Loan Terms'!$C$13="Fixed",'Loan Terms'!$H$17,V376))</f>
        <v/>
      </c>
      <c r="G376" s="12" t="str">
        <f t="shared" si="42"/>
        <v/>
      </c>
      <c r="H376" s="12" t="str">
        <f>IF(G376="","",IF('Loan Terms'!$C$13="Fixed",(E376="Yes")*J376+(E376="No")*'Loan Terms'!$H$19,PMT(F376/12,'Loan Terms'!$G$11-B376+1,-G376)))</f>
        <v/>
      </c>
      <c r="I376" s="12" t="str">
        <f>IF(B376="","",IF(B376='Loan Terms'!$H$9*12,G376,H376-J376))</f>
        <v/>
      </c>
      <c r="J376" s="130" t="str">
        <f>IF(B376="","",IF('Loan Terms'!$H$15="Actual/365",F376*(C376/365),F376*(C376/360))*G376)</f>
        <v/>
      </c>
      <c r="K376" s="12" t="str">
        <f t="shared" si="39"/>
        <v/>
      </c>
      <c r="L376" s="130" t="str">
        <f t="shared" si="43"/>
        <v/>
      </c>
      <c r="N376" s="14" t="str">
        <f t="shared" si="44"/>
        <v/>
      </c>
      <c r="S376" s="217" t="str">
        <f t="shared" si="40"/>
        <v/>
      </c>
      <c r="T376" s="218" t="str">
        <f t="shared" si="38"/>
        <v/>
      </c>
      <c r="U376" s="219" t="str">
        <f>IF(S376="","",'Loan Terms'!$H$14)</f>
        <v/>
      </c>
      <c r="V376" s="220" t="str">
        <f t="shared" si="45"/>
        <v/>
      </c>
    </row>
    <row r="377" spans="2:22" ht="14.25" customHeight="1" x14ac:dyDescent="0.2">
      <c r="B377" s="126" t="str">
        <f>IF(OR(B376="",B376='Loan Terms'!$H$9*12),"",B376+1)</f>
        <v/>
      </c>
      <c r="C377" s="128" t="str">
        <f>IF(B377="","",IF('Loan Terms'!$H$15="30/360",30,D377-D376))</f>
        <v/>
      </c>
      <c r="D377" s="129" t="str">
        <f t="shared" si="41"/>
        <v/>
      </c>
      <c r="E377" s="129" t="str">
        <f>IF(B377="","",IF(B377&lt;='Loan Terms'!$G$10,"Yes","No"))</f>
        <v/>
      </c>
      <c r="F377" s="101" t="str">
        <f>IF(B377="","",IF('Loan Terms'!$C$13="Fixed",'Loan Terms'!$H$17,V377))</f>
        <v/>
      </c>
      <c r="G377" s="12" t="str">
        <f t="shared" si="42"/>
        <v/>
      </c>
      <c r="H377" s="12" t="str">
        <f>IF(G377="","",IF('Loan Terms'!$C$13="Fixed",(E377="Yes")*J377+(E377="No")*'Loan Terms'!$H$19,PMT(F377/12,'Loan Terms'!$G$11-B377+1,-G377)))</f>
        <v/>
      </c>
      <c r="I377" s="12" t="str">
        <f>IF(B377="","",IF(B377='Loan Terms'!$H$9*12,G377,H377-J377))</f>
        <v/>
      </c>
      <c r="J377" s="130" t="str">
        <f>IF(B377="","",IF('Loan Terms'!$H$15="Actual/365",F377*(C377/365),F377*(C377/360))*G377)</f>
        <v/>
      </c>
      <c r="K377" s="12" t="str">
        <f t="shared" si="39"/>
        <v/>
      </c>
      <c r="L377" s="130" t="str">
        <f t="shared" si="43"/>
        <v/>
      </c>
      <c r="N377" s="14" t="str">
        <f t="shared" si="44"/>
        <v/>
      </c>
      <c r="S377" s="217" t="str">
        <f t="shared" si="40"/>
        <v/>
      </c>
      <c r="T377" s="218" t="str">
        <f t="shared" si="38"/>
        <v/>
      </c>
      <c r="U377" s="219" t="str">
        <f>IF(S377="","",'Loan Terms'!$H$14)</f>
        <v/>
      </c>
      <c r="V377" s="220" t="str">
        <f t="shared" si="45"/>
        <v/>
      </c>
    </row>
    <row r="378" spans="2:22" ht="14.25" customHeight="1" x14ac:dyDescent="0.2">
      <c r="B378" s="126" t="str">
        <f>IF(OR(B377="",B377='Loan Terms'!$H$9*12),"",B377+1)</f>
        <v/>
      </c>
      <c r="C378" s="128" t="str">
        <f>IF(B378="","",IF('Loan Terms'!$H$15="30/360",30,D378-D377))</f>
        <v/>
      </c>
      <c r="D378" s="129" t="str">
        <f t="shared" si="41"/>
        <v/>
      </c>
      <c r="E378" s="129" t="str">
        <f>IF(B378="","",IF(B378&lt;='Loan Terms'!$G$10,"Yes","No"))</f>
        <v/>
      </c>
      <c r="F378" s="101" t="str">
        <f>IF(B378="","",IF('Loan Terms'!$C$13="Fixed",'Loan Terms'!$H$17,V378))</f>
        <v/>
      </c>
      <c r="G378" s="12" t="str">
        <f t="shared" si="42"/>
        <v/>
      </c>
      <c r="H378" s="12" t="str">
        <f>IF(G378="","",IF('Loan Terms'!$C$13="Fixed",(E378="Yes")*J378+(E378="No")*'Loan Terms'!$H$19,PMT(F378/12,'Loan Terms'!$G$11-B378+1,-G378)))</f>
        <v/>
      </c>
      <c r="I378" s="12" t="str">
        <f>IF(B378="","",IF(B378='Loan Terms'!$H$9*12,G378,H378-J378))</f>
        <v/>
      </c>
      <c r="J378" s="130" t="str">
        <f>IF(B378="","",IF('Loan Terms'!$H$15="Actual/365",F378*(C378/365),F378*(C378/360))*G378)</f>
        <v/>
      </c>
      <c r="K378" s="12" t="str">
        <f t="shared" si="39"/>
        <v/>
      </c>
      <c r="L378" s="130" t="str">
        <f t="shared" si="43"/>
        <v/>
      </c>
      <c r="N378" s="14" t="str">
        <f t="shared" si="44"/>
        <v/>
      </c>
      <c r="S378" s="217" t="str">
        <f t="shared" si="40"/>
        <v/>
      </c>
      <c r="T378" s="218" t="str">
        <f t="shared" si="38"/>
        <v/>
      </c>
      <c r="U378" s="219" t="str">
        <f>IF(S378="","",'Loan Terms'!$H$14)</f>
        <v/>
      </c>
      <c r="V378" s="220" t="str">
        <f t="shared" si="45"/>
        <v/>
      </c>
    </row>
    <row r="379" spans="2:22" ht="14.25" customHeight="1" x14ac:dyDescent="0.2">
      <c r="B379" s="126" t="str">
        <f>IF(OR(B378="",B378='Loan Terms'!$H$9*12),"",B378+1)</f>
        <v/>
      </c>
      <c r="C379" s="128" t="str">
        <f>IF(B379="","",IF('Loan Terms'!$H$15="30/360",30,D379-D378))</f>
        <v/>
      </c>
      <c r="D379" s="129" t="str">
        <f t="shared" si="41"/>
        <v/>
      </c>
      <c r="E379" s="129" t="str">
        <f>IF(B379="","",IF(B379&lt;='Loan Terms'!$G$10,"Yes","No"))</f>
        <v/>
      </c>
      <c r="F379" s="101" t="str">
        <f>IF(B379="","",IF('Loan Terms'!$C$13="Fixed",'Loan Terms'!$H$17,V379))</f>
        <v/>
      </c>
      <c r="G379" s="12" t="str">
        <f t="shared" si="42"/>
        <v/>
      </c>
      <c r="H379" s="12" t="str">
        <f>IF(G379="","",IF('Loan Terms'!$C$13="Fixed",(E379="Yes")*J379+(E379="No")*'Loan Terms'!$H$19,PMT(F379/12,'Loan Terms'!$G$11-B379+1,-G379)))</f>
        <v/>
      </c>
      <c r="I379" s="12" t="str">
        <f>IF(B379="","",IF(B379='Loan Terms'!$H$9*12,G379,H379-J379))</f>
        <v/>
      </c>
      <c r="J379" s="130" t="str">
        <f>IF(B379="","",IF('Loan Terms'!$H$15="Actual/365",F379*(C379/365),F379*(C379/360))*G379)</f>
        <v/>
      </c>
      <c r="K379" s="12" t="str">
        <f t="shared" si="39"/>
        <v/>
      </c>
      <c r="L379" s="130" t="str">
        <f t="shared" si="43"/>
        <v/>
      </c>
      <c r="N379" s="14" t="str">
        <f t="shared" si="44"/>
        <v/>
      </c>
      <c r="S379" s="217" t="str">
        <f t="shared" si="40"/>
        <v/>
      </c>
      <c r="T379" s="218" t="str">
        <f t="shared" si="38"/>
        <v/>
      </c>
      <c r="U379" s="219" t="str">
        <f>IF(S379="","",'Loan Terms'!$H$14)</f>
        <v/>
      </c>
      <c r="V379" s="220" t="str">
        <f t="shared" si="45"/>
        <v/>
      </c>
    </row>
    <row r="380" spans="2:22" ht="14.25" customHeight="1" x14ac:dyDescent="0.2">
      <c r="B380" s="126" t="str">
        <f>IF(OR(B379="",B379='Loan Terms'!$H$9*12),"",B379+1)</f>
        <v/>
      </c>
      <c r="C380" s="128" t="str">
        <f>IF(B380="","",IF('Loan Terms'!$H$15="30/360",30,D380-D379))</f>
        <v/>
      </c>
      <c r="D380" s="129" t="str">
        <f t="shared" si="41"/>
        <v/>
      </c>
      <c r="E380" s="129" t="str">
        <f>IF(B380="","",IF(B380&lt;='Loan Terms'!$G$10,"Yes","No"))</f>
        <v/>
      </c>
      <c r="F380" s="101" t="str">
        <f>IF(B380="","",IF('Loan Terms'!$C$13="Fixed",'Loan Terms'!$H$17,V380))</f>
        <v/>
      </c>
      <c r="G380" s="12" t="str">
        <f t="shared" si="42"/>
        <v/>
      </c>
      <c r="H380" s="12" t="str">
        <f>IF(G380="","",IF('Loan Terms'!$C$13="Fixed",(E380="Yes")*J380+(E380="No")*'Loan Terms'!$H$19,PMT(F380/12,'Loan Terms'!$G$11-B380+1,-G380)))</f>
        <v/>
      </c>
      <c r="I380" s="12" t="str">
        <f>IF(B380="","",IF(B380='Loan Terms'!$H$9*12,G380,H380-J380))</f>
        <v/>
      </c>
      <c r="J380" s="130" t="str">
        <f>IF(B380="","",IF('Loan Terms'!$H$15="Actual/365",F380*(C380/365),F380*(C380/360))*G380)</f>
        <v/>
      </c>
      <c r="K380" s="12" t="str">
        <f t="shared" si="39"/>
        <v/>
      </c>
      <c r="L380" s="130" t="str">
        <f t="shared" si="43"/>
        <v/>
      </c>
      <c r="N380" s="14" t="str">
        <f t="shared" si="44"/>
        <v/>
      </c>
      <c r="S380" s="217" t="str">
        <f t="shared" si="40"/>
        <v/>
      </c>
      <c r="T380" s="218" t="str">
        <f t="shared" si="38"/>
        <v/>
      </c>
      <c r="U380" s="219" t="str">
        <f>IF(S380="","",'Loan Terms'!$H$14)</f>
        <v/>
      </c>
      <c r="V380" s="220" t="str">
        <f t="shared" si="45"/>
        <v/>
      </c>
    </row>
    <row r="381" spans="2:22" ht="14.25" customHeight="1" x14ac:dyDescent="0.2">
      <c r="B381" s="126" t="str">
        <f>IF(OR(B380="",B380='Loan Terms'!$H$9*12),"",B380+1)</f>
        <v/>
      </c>
      <c r="C381" s="128" t="str">
        <f>IF(B381="","",IF('Loan Terms'!$H$15="30/360",30,D381-D380))</f>
        <v/>
      </c>
      <c r="D381" s="129" t="str">
        <f t="shared" si="41"/>
        <v/>
      </c>
      <c r="E381" s="129" t="str">
        <f>IF(B381="","",IF(B381&lt;='Loan Terms'!$G$10,"Yes","No"))</f>
        <v/>
      </c>
      <c r="F381" s="101" t="str">
        <f>IF(B381="","",IF('Loan Terms'!$C$13="Fixed",'Loan Terms'!$H$17,V381))</f>
        <v/>
      </c>
      <c r="G381" s="12" t="str">
        <f t="shared" si="42"/>
        <v/>
      </c>
      <c r="H381" s="12" t="str">
        <f>IF(G381="","",IF('Loan Terms'!$C$13="Fixed",(E381="Yes")*J381+(E381="No")*'Loan Terms'!$H$19,PMT(F381/12,'Loan Terms'!$G$11-B381+1,-G381)))</f>
        <v/>
      </c>
      <c r="I381" s="12" t="str">
        <f>IF(B381="","",IF(B381='Loan Terms'!$H$9*12,G381,H381-J381))</f>
        <v/>
      </c>
      <c r="J381" s="130" t="str">
        <f>IF(B381="","",IF('Loan Terms'!$H$15="Actual/365",F381*(C381/365),F381*(C381/360))*G381)</f>
        <v/>
      </c>
      <c r="K381" s="12" t="str">
        <f t="shared" si="39"/>
        <v/>
      </c>
      <c r="L381" s="130" t="str">
        <f t="shared" si="43"/>
        <v/>
      </c>
      <c r="N381" s="14" t="str">
        <f t="shared" si="44"/>
        <v/>
      </c>
      <c r="S381" s="217" t="str">
        <f t="shared" si="40"/>
        <v/>
      </c>
      <c r="T381" s="218" t="str">
        <f t="shared" si="38"/>
        <v/>
      </c>
      <c r="U381" s="219" t="str">
        <f>IF(S381="","",'Loan Terms'!$H$14)</f>
        <v/>
      </c>
      <c r="V381" s="220" t="str">
        <f t="shared" si="45"/>
        <v/>
      </c>
    </row>
    <row r="382" spans="2:22" ht="14.25" customHeight="1" x14ac:dyDescent="0.2">
      <c r="B382" s="126" t="str">
        <f>IF(OR(B381="",B381='Loan Terms'!$H$9*12),"",B381+1)</f>
        <v/>
      </c>
      <c r="C382" s="128" t="str">
        <f>IF(B382="","",IF('Loan Terms'!$H$15="30/360",30,D382-D381))</f>
        <v/>
      </c>
      <c r="D382" s="129" t="str">
        <f t="shared" si="41"/>
        <v/>
      </c>
      <c r="E382" s="129" t="str">
        <f>IF(B382="","",IF(B382&lt;='Loan Terms'!$G$10,"Yes","No"))</f>
        <v/>
      </c>
      <c r="F382" s="101" t="str">
        <f>IF(B382="","",IF('Loan Terms'!$C$13="Fixed",'Loan Terms'!$H$17,V382))</f>
        <v/>
      </c>
      <c r="G382" s="12" t="str">
        <f t="shared" si="42"/>
        <v/>
      </c>
      <c r="H382" s="12" t="str">
        <f>IF(G382="","",IF('Loan Terms'!$C$13="Fixed",(E382="Yes")*J382+(E382="No")*'Loan Terms'!$H$19,PMT(F382/12,'Loan Terms'!$G$11-B382+1,-G382)))</f>
        <v/>
      </c>
      <c r="I382" s="12" t="str">
        <f>IF(B382="","",IF(B382='Loan Terms'!$H$9*12,G382,H382-J382))</f>
        <v/>
      </c>
      <c r="J382" s="130" t="str">
        <f>IF(B382="","",IF('Loan Terms'!$H$15="Actual/365",F382*(C382/365),F382*(C382/360))*G382)</f>
        <v/>
      </c>
      <c r="K382" s="12" t="str">
        <f t="shared" si="39"/>
        <v/>
      </c>
      <c r="L382" s="130" t="str">
        <f t="shared" si="43"/>
        <v/>
      </c>
      <c r="N382" s="14" t="str">
        <f t="shared" si="44"/>
        <v/>
      </c>
      <c r="S382" s="217" t="str">
        <f t="shared" si="40"/>
        <v/>
      </c>
      <c r="T382" s="218" t="str">
        <f t="shared" si="38"/>
        <v/>
      </c>
      <c r="U382" s="219" t="str">
        <f>IF(S382="","",'Loan Terms'!$H$14)</f>
        <v/>
      </c>
      <c r="V382" s="220" t="str">
        <f t="shared" si="45"/>
        <v/>
      </c>
    </row>
    <row r="383" spans="2:22" ht="14.25" customHeight="1" x14ac:dyDescent="0.2">
      <c r="B383" s="126" t="str">
        <f>IF(OR(B382="",B382='Loan Terms'!$H$9*12),"",B382+1)</f>
        <v/>
      </c>
      <c r="C383" s="128" t="str">
        <f>IF(B383="","",IF('Loan Terms'!$H$15="30/360",30,D383-D382))</f>
        <v/>
      </c>
      <c r="D383" s="129" t="str">
        <f t="shared" si="41"/>
        <v/>
      </c>
      <c r="E383" s="129" t="str">
        <f>IF(B383="","",IF(B383&lt;='Loan Terms'!$G$10,"Yes","No"))</f>
        <v/>
      </c>
      <c r="F383" s="101" t="str">
        <f>IF(B383="","",IF('Loan Terms'!$C$13="Fixed",'Loan Terms'!$H$17,V383))</f>
        <v/>
      </c>
      <c r="G383" s="12" t="str">
        <f t="shared" si="42"/>
        <v/>
      </c>
      <c r="H383" s="12" t="str">
        <f>IF(G383="","",IF('Loan Terms'!$C$13="Fixed",(E383="Yes")*J383+(E383="No")*'Loan Terms'!$H$19,PMT(F383/12,'Loan Terms'!$G$11-B383+1,-G383)))</f>
        <v/>
      </c>
      <c r="I383" s="12" t="str">
        <f>IF(B383="","",IF(B383='Loan Terms'!$H$9*12,G383,H383-J383))</f>
        <v/>
      </c>
      <c r="J383" s="130" t="str">
        <f>IF(B383="","",IF('Loan Terms'!$H$15="Actual/365",F383*(C383/365),F383*(C383/360))*G383)</f>
        <v/>
      </c>
      <c r="K383" s="12" t="str">
        <f t="shared" si="39"/>
        <v/>
      </c>
      <c r="L383" s="130" t="str">
        <f t="shared" si="43"/>
        <v/>
      </c>
      <c r="N383" s="14" t="str">
        <f t="shared" si="44"/>
        <v/>
      </c>
      <c r="S383" s="217" t="str">
        <f t="shared" si="40"/>
        <v/>
      </c>
      <c r="T383" s="218" t="str">
        <f t="shared" ref="T383:T446" si="46">IF(S383="","",T382)</f>
        <v/>
      </c>
      <c r="U383" s="219" t="str">
        <f>IF(S383="","",'Loan Terms'!$H$14)</f>
        <v/>
      </c>
      <c r="V383" s="220" t="str">
        <f t="shared" si="45"/>
        <v/>
      </c>
    </row>
    <row r="384" spans="2:22" ht="14.25" customHeight="1" x14ac:dyDescent="0.2">
      <c r="B384" s="126" t="str">
        <f>IF(OR(B383="",B383='Loan Terms'!$H$9*12),"",B383+1)</f>
        <v/>
      </c>
      <c r="C384" s="128" t="str">
        <f>IF(B384="","",IF('Loan Terms'!$H$15="30/360",30,D384-D383))</f>
        <v/>
      </c>
      <c r="D384" s="129" t="str">
        <f t="shared" si="41"/>
        <v/>
      </c>
      <c r="E384" s="129" t="str">
        <f>IF(B384="","",IF(B384&lt;='Loan Terms'!$G$10,"Yes","No"))</f>
        <v/>
      </c>
      <c r="F384" s="101" t="str">
        <f>IF(B384="","",IF('Loan Terms'!$C$13="Fixed",'Loan Terms'!$H$17,V384))</f>
        <v/>
      </c>
      <c r="G384" s="12" t="str">
        <f t="shared" si="42"/>
        <v/>
      </c>
      <c r="H384" s="12" t="str">
        <f>IF(G384="","",IF('Loan Terms'!$C$13="Fixed",(E384="Yes")*J384+(E384="No")*'Loan Terms'!$H$19,PMT(F384/12,'Loan Terms'!$G$11-B384+1,-G384)))</f>
        <v/>
      </c>
      <c r="I384" s="12" t="str">
        <f>IF(B384="","",IF(B384='Loan Terms'!$H$9*12,G384,H384-J384))</f>
        <v/>
      </c>
      <c r="J384" s="130" t="str">
        <f>IF(B384="","",IF('Loan Terms'!$H$15="Actual/365",F384*(C384/365),F384*(C384/360))*G384)</f>
        <v/>
      </c>
      <c r="K384" s="12" t="str">
        <f t="shared" si="39"/>
        <v/>
      </c>
      <c r="L384" s="130" t="str">
        <f t="shared" si="43"/>
        <v/>
      </c>
      <c r="N384" s="14" t="str">
        <f t="shared" si="44"/>
        <v/>
      </c>
      <c r="S384" s="217" t="str">
        <f t="shared" si="40"/>
        <v/>
      </c>
      <c r="T384" s="218" t="str">
        <f t="shared" si="46"/>
        <v/>
      </c>
      <c r="U384" s="219" t="str">
        <f>IF(S384="","",'Loan Terms'!$H$14)</f>
        <v/>
      </c>
      <c r="V384" s="220" t="str">
        <f t="shared" si="45"/>
        <v/>
      </c>
    </row>
    <row r="385" spans="2:22" ht="14.25" customHeight="1" x14ac:dyDescent="0.2">
      <c r="B385" s="126" t="str">
        <f>IF(OR(B384="",B384='Loan Terms'!$H$9*12),"",B384+1)</f>
        <v/>
      </c>
      <c r="C385" s="128" t="str">
        <f>IF(B385="","",IF('Loan Terms'!$H$15="30/360",30,D385-D384))</f>
        <v/>
      </c>
      <c r="D385" s="129" t="str">
        <f t="shared" si="41"/>
        <v/>
      </c>
      <c r="E385" s="129" t="str">
        <f>IF(B385="","",IF(B385&lt;='Loan Terms'!$G$10,"Yes","No"))</f>
        <v/>
      </c>
      <c r="F385" s="101" t="str">
        <f>IF(B385="","",IF('Loan Terms'!$C$13="Fixed",'Loan Terms'!$H$17,V385))</f>
        <v/>
      </c>
      <c r="G385" s="12" t="str">
        <f t="shared" si="42"/>
        <v/>
      </c>
      <c r="H385" s="12" t="str">
        <f>IF(G385="","",IF('Loan Terms'!$C$13="Fixed",(E385="Yes")*J385+(E385="No")*'Loan Terms'!$H$19,PMT(F385/12,'Loan Terms'!$G$11-B385+1,-G385)))</f>
        <v/>
      </c>
      <c r="I385" s="12" t="str">
        <f>IF(B385="","",IF(B385='Loan Terms'!$H$9*12,G385,H385-J385))</f>
        <v/>
      </c>
      <c r="J385" s="130" t="str">
        <f>IF(B385="","",IF('Loan Terms'!$H$15="Actual/365",F385*(C385/365),F385*(C385/360))*G385)</f>
        <v/>
      </c>
      <c r="K385" s="12" t="str">
        <f t="shared" si="39"/>
        <v/>
      </c>
      <c r="L385" s="130" t="str">
        <f t="shared" si="43"/>
        <v/>
      </c>
      <c r="N385" s="14" t="str">
        <f t="shared" si="44"/>
        <v/>
      </c>
      <c r="S385" s="217" t="str">
        <f t="shared" si="40"/>
        <v/>
      </c>
      <c r="T385" s="218" t="str">
        <f t="shared" si="46"/>
        <v/>
      </c>
      <c r="U385" s="219" t="str">
        <f>IF(S385="","",'Loan Terms'!$H$14)</f>
        <v/>
      </c>
      <c r="V385" s="220" t="str">
        <f t="shared" si="45"/>
        <v/>
      </c>
    </row>
    <row r="386" spans="2:22" ht="14.25" customHeight="1" x14ac:dyDescent="0.2">
      <c r="B386" s="126" t="str">
        <f>IF(OR(B385="",B385='Loan Terms'!$H$9*12),"",B385+1)</f>
        <v/>
      </c>
      <c r="C386" s="128" t="str">
        <f>IF(B386="","",IF('Loan Terms'!$H$15="30/360",30,D386-D385))</f>
        <v/>
      </c>
      <c r="D386" s="129" t="str">
        <f t="shared" si="41"/>
        <v/>
      </c>
      <c r="E386" s="129" t="str">
        <f>IF(B386="","",IF(B386&lt;='Loan Terms'!$G$10,"Yes","No"))</f>
        <v/>
      </c>
      <c r="F386" s="101" t="str">
        <f>IF(B386="","",IF('Loan Terms'!$C$13="Fixed",'Loan Terms'!$H$17,V386))</f>
        <v/>
      </c>
      <c r="G386" s="12" t="str">
        <f t="shared" si="42"/>
        <v/>
      </c>
      <c r="H386" s="12" t="str">
        <f>IF(G386="","",IF('Loan Terms'!$C$13="Fixed",(E386="Yes")*J386+(E386="No")*'Loan Terms'!$H$19,PMT(F386/12,'Loan Terms'!$G$11-B386+1,-G386)))</f>
        <v/>
      </c>
      <c r="I386" s="12" t="str">
        <f>IF(B386="","",IF(B386='Loan Terms'!$H$9*12,G386,H386-J386))</f>
        <v/>
      </c>
      <c r="J386" s="130" t="str">
        <f>IF(B386="","",IF('Loan Terms'!$H$15="Actual/365",F386*(C386/365),F386*(C386/360))*G386)</f>
        <v/>
      </c>
      <c r="K386" s="12" t="str">
        <f t="shared" si="39"/>
        <v/>
      </c>
      <c r="L386" s="130" t="str">
        <f t="shared" si="43"/>
        <v/>
      </c>
      <c r="N386" s="14" t="str">
        <f t="shared" si="44"/>
        <v/>
      </c>
      <c r="S386" s="217" t="str">
        <f t="shared" si="40"/>
        <v/>
      </c>
      <c r="T386" s="218" t="str">
        <f t="shared" si="46"/>
        <v/>
      </c>
      <c r="U386" s="219" t="str">
        <f>IF(S386="","",'Loan Terms'!$H$14)</f>
        <v/>
      </c>
      <c r="V386" s="220" t="str">
        <f t="shared" si="45"/>
        <v/>
      </c>
    </row>
    <row r="387" spans="2:22" ht="14.25" customHeight="1" x14ac:dyDescent="0.2">
      <c r="B387" s="126" t="str">
        <f>IF(OR(B386="",B386='Loan Terms'!$H$9*12),"",B386+1)</f>
        <v/>
      </c>
      <c r="C387" s="128" t="str">
        <f>IF(B387="","",IF('Loan Terms'!$H$15="30/360",30,D387-D386))</f>
        <v/>
      </c>
      <c r="D387" s="129" t="str">
        <f t="shared" si="41"/>
        <v/>
      </c>
      <c r="E387" s="129" t="str">
        <f>IF(B387="","",IF(B387&lt;='Loan Terms'!$G$10,"Yes","No"))</f>
        <v/>
      </c>
      <c r="F387" s="101" t="str">
        <f>IF(B387="","",IF('Loan Terms'!$C$13="Fixed",'Loan Terms'!$H$17,V387))</f>
        <v/>
      </c>
      <c r="G387" s="12" t="str">
        <f t="shared" si="42"/>
        <v/>
      </c>
      <c r="H387" s="12" t="str">
        <f>IF(G387="","",IF('Loan Terms'!$C$13="Fixed",(E387="Yes")*J387+(E387="No")*'Loan Terms'!$H$19,PMT(F387/12,'Loan Terms'!$G$11-B387+1,-G387)))</f>
        <v/>
      </c>
      <c r="I387" s="12" t="str">
        <f>IF(B387="","",IF(B387='Loan Terms'!$H$9*12,G387,H387-J387))</f>
        <v/>
      </c>
      <c r="J387" s="130" t="str">
        <f>IF(B387="","",IF('Loan Terms'!$H$15="Actual/365",F387*(C387/365),F387*(C387/360))*G387)</f>
        <v/>
      </c>
      <c r="K387" s="12" t="str">
        <f t="shared" si="39"/>
        <v/>
      </c>
      <c r="L387" s="130" t="str">
        <f t="shared" si="43"/>
        <v/>
      </c>
      <c r="N387" s="14" t="str">
        <f t="shared" si="44"/>
        <v/>
      </c>
      <c r="S387" s="217" t="str">
        <f t="shared" si="40"/>
        <v/>
      </c>
      <c r="T387" s="218" t="str">
        <f t="shared" si="46"/>
        <v/>
      </c>
      <c r="U387" s="219" t="str">
        <f>IF(S387="","",'Loan Terms'!$H$14)</f>
        <v/>
      </c>
      <c r="V387" s="220" t="str">
        <f t="shared" si="45"/>
        <v/>
      </c>
    </row>
    <row r="388" spans="2:22" ht="14.25" customHeight="1" x14ac:dyDescent="0.2">
      <c r="B388" s="126" t="str">
        <f>IF(OR(B387="",B387='Loan Terms'!$H$9*12),"",B387+1)</f>
        <v/>
      </c>
      <c r="C388" s="128" t="str">
        <f>IF(B388="","",IF('Loan Terms'!$H$15="30/360",30,D388-D387))</f>
        <v/>
      </c>
      <c r="D388" s="129" t="str">
        <f t="shared" si="41"/>
        <v/>
      </c>
      <c r="E388" s="129" t="str">
        <f>IF(B388="","",IF(B388&lt;='Loan Terms'!$G$10,"Yes","No"))</f>
        <v/>
      </c>
      <c r="F388" s="101" t="str">
        <f>IF(B388="","",IF('Loan Terms'!$C$13="Fixed",'Loan Terms'!$H$17,V388))</f>
        <v/>
      </c>
      <c r="G388" s="12" t="str">
        <f t="shared" si="42"/>
        <v/>
      </c>
      <c r="H388" s="12" t="str">
        <f>IF(G388="","",IF('Loan Terms'!$C$13="Fixed",(E388="Yes")*J388+(E388="No")*'Loan Terms'!$H$19,PMT(F388/12,'Loan Terms'!$G$11-B388+1,-G388)))</f>
        <v/>
      </c>
      <c r="I388" s="12" t="str">
        <f>IF(B388="","",IF(B388='Loan Terms'!$H$9*12,G388,H388-J388))</f>
        <v/>
      </c>
      <c r="J388" s="130" t="str">
        <f>IF(B388="","",IF('Loan Terms'!$H$15="Actual/365",F388*(C388/365),F388*(C388/360))*G388)</f>
        <v/>
      </c>
      <c r="K388" s="12" t="str">
        <f t="shared" si="39"/>
        <v/>
      </c>
      <c r="L388" s="130" t="str">
        <f t="shared" si="43"/>
        <v/>
      </c>
      <c r="N388" s="14" t="str">
        <f t="shared" si="44"/>
        <v/>
      </c>
      <c r="S388" s="217" t="str">
        <f t="shared" si="40"/>
        <v/>
      </c>
      <c r="T388" s="218" t="str">
        <f t="shared" si="46"/>
        <v/>
      </c>
      <c r="U388" s="219" t="str">
        <f>IF(S388="","",'Loan Terms'!$H$14)</f>
        <v/>
      </c>
      <c r="V388" s="220" t="str">
        <f t="shared" si="45"/>
        <v/>
      </c>
    </row>
    <row r="389" spans="2:22" ht="14.25" customHeight="1" x14ac:dyDescent="0.2">
      <c r="B389" s="126" t="str">
        <f>IF(OR(B388="",B388='Loan Terms'!$H$9*12),"",B388+1)</f>
        <v/>
      </c>
      <c r="C389" s="128" t="str">
        <f>IF(B389="","",IF('Loan Terms'!$H$15="30/360",30,D389-D388))</f>
        <v/>
      </c>
      <c r="D389" s="129" t="str">
        <f t="shared" si="41"/>
        <v/>
      </c>
      <c r="E389" s="129" t="str">
        <f>IF(B389="","",IF(B389&lt;='Loan Terms'!$G$10,"Yes","No"))</f>
        <v/>
      </c>
      <c r="F389" s="101" t="str">
        <f>IF(B389="","",IF('Loan Terms'!$C$13="Fixed",'Loan Terms'!$H$17,V389))</f>
        <v/>
      </c>
      <c r="G389" s="12" t="str">
        <f t="shared" si="42"/>
        <v/>
      </c>
      <c r="H389" s="12" t="str">
        <f>IF(G389="","",IF('Loan Terms'!$C$13="Fixed",(E389="Yes")*J389+(E389="No")*'Loan Terms'!$H$19,PMT(F389/12,'Loan Terms'!$G$11-B389+1,-G389)))</f>
        <v/>
      </c>
      <c r="I389" s="12" t="str">
        <f>IF(B389="","",IF(B389='Loan Terms'!$H$9*12,G389,H389-J389))</f>
        <v/>
      </c>
      <c r="J389" s="130" t="str">
        <f>IF(B389="","",IF('Loan Terms'!$H$15="Actual/365",F389*(C389/365),F389*(C389/360))*G389)</f>
        <v/>
      </c>
      <c r="K389" s="12" t="str">
        <f t="shared" si="39"/>
        <v/>
      </c>
      <c r="L389" s="130" t="str">
        <f t="shared" si="43"/>
        <v/>
      </c>
      <c r="N389" s="14" t="str">
        <f t="shared" si="44"/>
        <v/>
      </c>
      <c r="S389" s="217" t="str">
        <f t="shared" si="40"/>
        <v/>
      </c>
      <c r="T389" s="218" t="str">
        <f t="shared" si="46"/>
        <v/>
      </c>
      <c r="U389" s="219" t="str">
        <f>IF(S389="","",'Loan Terms'!$H$14)</f>
        <v/>
      </c>
      <c r="V389" s="220" t="str">
        <f t="shared" si="45"/>
        <v/>
      </c>
    </row>
    <row r="390" spans="2:22" ht="14.25" customHeight="1" x14ac:dyDescent="0.2">
      <c r="B390" s="126" t="str">
        <f>IF(OR(B389="",B389='Loan Terms'!$H$9*12),"",B389+1)</f>
        <v/>
      </c>
      <c r="C390" s="128" t="str">
        <f>IF(B390="","",IF('Loan Terms'!$H$15="30/360",30,D390-D389))</f>
        <v/>
      </c>
      <c r="D390" s="129" t="str">
        <f t="shared" si="41"/>
        <v/>
      </c>
      <c r="E390" s="129" t="str">
        <f>IF(B390="","",IF(B390&lt;='Loan Terms'!$G$10,"Yes","No"))</f>
        <v/>
      </c>
      <c r="F390" s="101" t="str">
        <f>IF(B390="","",IF('Loan Terms'!$C$13="Fixed",'Loan Terms'!$H$17,V390))</f>
        <v/>
      </c>
      <c r="G390" s="12" t="str">
        <f t="shared" si="42"/>
        <v/>
      </c>
      <c r="H390" s="12" t="str">
        <f>IF(G390="","",IF('Loan Terms'!$C$13="Fixed",(E390="Yes")*J390+(E390="No")*'Loan Terms'!$H$19,PMT(F390/12,'Loan Terms'!$G$11-B390+1,-G390)))</f>
        <v/>
      </c>
      <c r="I390" s="12" t="str">
        <f>IF(B390="","",IF(B390='Loan Terms'!$H$9*12,G390,H390-J390))</f>
        <v/>
      </c>
      <c r="J390" s="130" t="str">
        <f>IF(B390="","",IF('Loan Terms'!$H$15="Actual/365",F390*(C390/365),F390*(C390/360))*G390)</f>
        <v/>
      </c>
      <c r="K390" s="12" t="str">
        <f t="shared" ref="K390:K453" si="47">IF(B390="","",G390-I390)</f>
        <v/>
      </c>
      <c r="L390" s="130" t="str">
        <f t="shared" si="43"/>
        <v/>
      </c>
      <c r="N390" s="14" t="str">
        <f t="shared" si="44"/>
        <v/>
      </c>
      <c r="S390" s="217" t="str">
        <f t="shared" ref="S390:S453" si="48">D390</f>
        <v/>
      </c>
      <c r="T390" s="218" t="str">
        <f t="shared" si="46"/>
        <v/>
      </c>
      <c r="U390" s="219" t="str">
        <f>IF(S390="","",'Loan Terms'!$H$14)</f>
        <v/>
      </c>
      <c r="V390" s="220" t="str">
        <f t="shared" si="45"/>
        <v/>
      </c>
    </row>
    <row r="391" spans="2:22" ht="14.25" customHeight="1" x14ac:dyDescent="0.2">
      <c r="B391" s="126" t="str">
        <f>IF(OR(B390="",B390='Loan Terms'!$H$9*12),"",B390+1)</f>
        <v/>
      </c>
      <c r="C391" s="128" t="str">
        <f>IF(B391="","",IF('Loan Terms'!$H$15="30/360",30,D391-D390))</f>
        <v/>
      </c>
      <c r="D391" s="129" t="str">
        <f t="shared" ref="D391:D454" si="49">IF(B391="","",EDATE(D390,1))</f>
        <v/>
      </c>
      <c r="E391" s="129" t="str">
        <f>IF(B391="","",IF(B391&lt;='Loan Terms'!$G$10,"Yes","No"))</f>
        <v/>
      </c>
      <c r="F391" s="101" t="str">
        <f>IF(B391="","",IF('Loan Terms'!$C$13="Fixed",'Loan Terms'!$H$17,V391))</f>
        <v/>
      </c>
      <c r="G391" s="12" t="str">
        <f t="shared" ref="G391:G454" si="50">IF(B391="","",K390)</f>
        <v/>
      </c>
      <c r="H391" s="12" t="str">
        <f>IF(G391="","",IF('Loan Terms'!$C$13="Fixed",(E391="Yes")*J391+(E391="No")*'Loan Terms'!$H$19,PMT(F391/12,'Loan Terms'!$G$11-B391+1,-G391)))</f>
        <v/>
      </c>
      <c r="I391" s="12" t="str">
        <f>IF(B391="","",IF(B391='Loan Terms'!$H$9*12,G391,H391-J391))</f>
        <v/>
      </c>
      <c r="J391" s="130" t="str">
        <f>IF(B391="","",IF('Loan Terms'!$H$15="Actual/365",F391*(C391/365),F391*(C391/360))*G391)</f>
        <v/>
      </c>
      <c r="K391" s="12" t="str">
        <f t="shared" si="47"/>
        <v/>
      </c>
      <c r="L391" s="130" t="str">
        <f t="shared" ref="L391:L454" si="51">IF(B391="","",J391+I391)</f>
        <v/>
      </c>
      <c r="N391" s="14" t="str">
        <f t="shared" ref="N391:N454" si="52">IF(B391="","",I391*B391)</f>
        <v/>
      </c>
      <c r="S391" s="217" t="str">
        <f t="shared" si="48"/>
        <v/>
      </c>
      <c r="T391" s="218" t="str">
        <f t="shared" si="46"/>
        <v/>
      </c>
      <c r="U391" s="219" t="str">
        <f>IF(S391="","",'Loan Terms'!$H$14)</f>
        <v/>
      </c>
      <c r="V391" s="220" t="str">
        <f t="shared" ref="V391:V454" si="53">IF(S391="","",T391+U391/10000)</f>
        <v/>
      </c>
    </row>
    <row r="392" spans="2:22" ht="14.25" customHeight="1" x14ac:dyDescent="0.2">
      <c r="B392" s="126" t="str">
        <f>IF(OR(B391="",B391='Loan Terms'!$H$9*12),"",B391+1)</f>
        <v/>
      </c>
      <c r="C392" s="128" t="str">
        <f>IF(B392="","",IF('Loan Terms'!$H$15="30/360",30,D392-D391))</f>
        <v/>
      </c>
      <c r="D392" s="129" t="str">
        <f t="shared" si="49"/>
        <v/>
      </c>
      <c r="E392" s="129" t="str">
        <f>IF(B392="","",IF(B392&lt;='Loan Terms'!$G$10,"Yes","No"))</f>
        <v/>
      </c>
      <c r="F392" s="101" t="str">
        <f>IF(B392="","",IF('Loan Terms'!$C$13="Fixed",'Loan Terms'!$H$17,V392))</f>
        <v/>
      </c>
      <c r="G392" s="12" t="str">
        <f t="shared" si="50"/>
        <v/>
      </c>
      <c r="H392" s="12" t="str">
        <f>IF(G392="","",IF('Loan Terms'!$C$13="Fixed",(E392="Yes")*J392+(E392="No")*'Loan Terms'!$H$19,PMT(F392/12,'Loan Terms'!$G$11-B392+1,-G392)))</f>
        <v/>
      </c>
      <c r="I392" s="12" t="str">
        <f>IF(B392="","",IF(B392='Loan Terms'!$H$9*12,G392,H392-J392))</f>
        <v/>
      </c>
      <c r="J392" s="130" t="str">
        <f>IF(B392="","",IF('Loan Terms'!$H$15="Actual/365",F392*(C392/365),F392*(C392/360))*G392)</f>
        <v/>
      </c>
      <c r="K392" s="12" t="str">
        <f t="shared" si="47"/>
        <v/>
      </c>
      <c r="L392" s="130" t="str">
        <f t="shared" si="51"/>
        <v/>
      </c>
      <c r="N392" s="14" t="str">
        <f t="shared" si="52"/>
        <v/>
      </c>
      <c r="S392" s="217" t="str">
        <f t="shared" si="48"/>
        <v/>
      </c>
      <c r="T392" s="218" t="str">
        <f t="shared" si="46"/>
        <v/>
      </c>
      <c r="U392" s="219" t="str">
        <f>IF(S392="","",'Loan Terms'!$H$14)</f>
        <v/>
      </c>
      <c r="V392" s="220" t="str">
        <f t="shared" si="53"/>
        <v/>
      </c>
    </row>
    <row r="393" spans="2:22" ht="14.25" customHeight="1" x14ac:dyDescent="0.2">
      <c r="B393" s="126" t="str">
        <f>IF(OR(B392="",B392='Loan Terms'!$H$9*12),"",B392+1)</f>
        <v/>
      </c>
      <c r="C393" s="128" t="str">
        <f>IF(B393="","",IF('Loan Terms'!$H$15="30/360",30,D393-D392))</f>
        <v/>
      </c>
      <c r="D393" s="129" t="str">
        <f t="shared" si="49"/>
        <v/>
      </c>
      <c r="E393" s="129" t="str">
        <f>IF(B393="","",IF(B393&lt;='Loan Terms'!$G$10,"Yes","No"))</f>
        <v/>
      </c>
      <c r="F393" s="101" t="str">
        <f>IF(B393="","",IF('Loan Terms'!$C$13="Fixed",'Loan Terms'!$H$17,V393))</f>
        <v/>
      </c>
      <c r="G393" s="12" t="str">
        <f t="shared" si="50"/>
        <v/>
      </c>
      <c r="H393" s="12" t="str">
        <f>IF(G393="","",IF('Loan Terms'!$C$13="Fixed",(E393="Yes")*J393+(E393="No")*'Loan Terms'!$H$19,PMT(F393/12,'Loan Terms'!$G$11-B393+1,-G393)))</f>
        <v/>
      </c>
      <c r="I393" s="12" t="str">
        <f>IF(B393="","",IF(B393='Loan Terms'!$H$9*12,G393,H393-J393))</f>
        <v/>
      </c>
      <c r="J393" s="130" t="str">
        <f>IF(B393="","",IF('Loan Terms'!$H$15="Actual/365",F393*(C393/365),F393*(C393/360))*G393)</f>
        <v/>
      </c>
      <c r="K393" s="12" t="str">
        <f t="shared" si="47"/>
        <v/>
      </c>
      <c r="L393" s="130" t="str">
        <f t="shared" si="51"/>
        <v/>
      </c>
      <c r="N393" s="14" t="str">
        <f t="shared" si="52"/>
        <v/>
      </c>
      <c r="S393" s="217" t="str">
        <f t="shared" si="48"/>
        <v/>
      </c>
      <c r="T393" s="218" t="str">
        <f t="shared" si="46"/>
        <v/>
      </c>
      <c r="U393" s="219" t="str">
        <f>IF(S393="","",'Loan Terms'!$H$14)</f>
        <v/>
      </c>
      <c r="V393" s="220" t="str">
        <f t="shared" si="53"/>
        <v/>
      </c>
    </row>
    <row r="394" spans="2:22" ht="14.25" customHeight="1" x14ac:dyDescent="0.2">
      <c r="B394" s="126" t="str">
        <f>IF(OR(B393="",B393='Loan Terms'!$H$9*12),"",B393+1)</f>
        <v/>
      </c>
      <c r="C394" s="128" t="str">
        <f>IF(B394="","",IF('Loan Terms'!$H$15="30/360",30,D394-D393))</f>
        <v/>
      </c>
      <c r="D394" s="129" t="str">
        <f t="shared" si="49"/>
        <v/>
      </c>
      <c r="E394" s="129" t="str">
        <f>IF(B394="","",IF(B394&lt;='Loan Terms'!$G$10,"Yes","No"))</f>
        <v/>
      </c>
      <c r="F394" s="101" t="str">
        <f>IF(B394="","",IF('Loan Terms'!$C$13="Fixed",'Loan Terms'!$H$17,V394))</f>
        <v/>
      </c>
      <c r="G394" s="12" t="str">
        <f t="shared" si="50"/>
        <v/>
      </c>
      <c r="H394" s="12" t="str">
        <f>IF(G394="","",IF('Loan Terms'!$C$13="Fixed",(E394="Yes")*J394+(E394="No")*'Loan Terms'!$H$19,PMT(F394/12,'Loan Terms'!$G$11-B394+1,-G394)))</f>
        <v/>
      </c>
      <c r="I394" s="12" t="str">
        <f>IF(B394="","",IF(B394='Loan Terms'!$H$9*12,G394,H394-J394))</f>
        <v/>
      </c>
      <c r="J394" s="130" t="str">
        <f>IF(B394="","",IF('Loan Terms'!$H$15="Actual/365",F394*(C394/365),F394*(C394/360))*G394)</f>
        <v/>
      </c>
      <c r="K394" s="12" t="str">
        <f t="shared" si="47"/>
        <v/>
      </c>
      <c r="L394" s="130" t="str">
        <f t="shared" si="51"/>
        <v/>
      </c>
      <c r="N394" s="14" t="str">
        <f t="shared" si="52"/>
        <v/>
      </c>
      <c r="S394" s="217" t="str">
        <f t="shared" si="48"/>
        <v/>
      </c>
      <c r="T394" s="218" t="str">
        <f t="shared" si="46"/>
        <v/>
      </c>
      <c r="U394" s="219" t="str">
        <f>IF(S394="","",'Loan Terms'!$H$14)</f>
        <v/>
      </c>
      <c r="V394" s="220" t="str">
        <f t="shared" si="53"/>
        <v/>
      </c>
    </row>
    <row r="395" spans="2:22" ht="14.25" customHeight="1" x14ac:dyDescent="0.2">
      <c r="B395" s="126" t="str">
        <f>IF(OR(B394="",B394='Loan Terms'!$H$9*12),"",B394+1)</f>
        <v/>
      </c>
      <c r="C395" s="128" t="str">
        <f>IF(B395="","",IF('Loan Terms'!$H$15="30/360",30,D395-D394))</f>
        <v/>
      </c>
      <c r="D395" s="129" t="str">
        <f t="shared" si="49"/>
        <v/>
      </c>
      <c r="E395" s="129" t="str">
        <f>IF(B395="","",IF(B395&lt;='Loan Terms'!$G$10,"Yes","No"))</f>
        <v/>
      </c>
      <c r="F395" s="101" t="str">
        <f>IF(B395="","",IF('Loan Terms'!$C$13="Fixed",'Loan Terms'!$H$17,V395))</f>
        <v/>
      </c>
      <c r="G395" s="12" t="str">
        <f t="shared" si="50"/>
        <v/>
      </c>
      <c r="H395" s="12" t="str">
        <f>IF(G395="","",IF('Loan Terms'!$C$13="Fixed",(E395="Yes")*J395+(E395="No")*'Loan Terms'!$H$19,PMT(F395/12,'Loan Terms'!$G$11-B395+1,-G395)))</f>
        <v/>
      </c>
      <c r="I395" s="12" t="str">
        <f>IF(B395="","",IF(B395='Loan Terms'!$H$9*12,G395,H395-J395))</f>
        <v/>
      </c>
      <c r="J395" s="130" t="str">
        <f>IF(B395="","",IF('Loan Terms'!$H$15="Actual/365",F395*(C395/365),F395*(C395/360))*G395)</f>
        <v/>
      </c>
      <c r="K395" s="12" t="str">
        <f t="shared" si="47"/>
        <v/>
      </c>
      <c r="L395" s="130" t="str">
        <f t="shared" si="51"/>
        <v/>
      </c>
      <c r="N395" s="14" t="str">
        <f t="shared" si="52"/>
        <v/>
      </c>
      <c r="S395" s="217" t="str">
        <f t="shared" si="48"/>
        <v/>
      </c>
      <c r="T395" s="218" t="str">
        <f t="shared" si="46"/>
        <v/>
      </c>
      <c r="U395" s="219" t="str">
        <f>IF(S395="","",'Loan Terms'!$H$14)</f>
        <v/>
      </c>
      <c r="V395" s="220" t="str">
        <f t="shared" si="53"/>
        <v/>
      </c>
    </row>
    <row r="396" spans="2:22" ht="14.25" customHeight="1" x14ac:dyDescent="0.2">
      <c r="B396" s="126" t="str">
        <f>IF(OR(B395="",B395='Loan Terms'!$H$9*12),"",B395+1)</f>
        <v/>
      </c>
      <c r="C396" s="128" t="str">
        <f>IF(B396="","",IF('Loan Terms'!$H$15="30/360",30,D396-D395))</f>
        <v/>
      </c>
      <c r="D396" s="129" t="str">
        <f t="shared" si="49"/>
        <v/>
      </c>
      <c r="E396" s="129" t="str">
        <f>IF(B396="","",IF(B396&lt;='Loan Terms'!$G$10,"Yes","No"))</f>
        <v/>
      </c>
      <c r="F396" s="101" t="str">
        <f>IF(B396="","",IF('Loan Terms'!$C$13="Fixed",'Loan Terms'!$H$17,V396))</f>
        <v/>
      </c>
      <c r="G396" s="12" t="str">
        <f t="shared" si="50"/>
        <v/>
      </c>
      <c r="H396" s="12" t="str">
        <f>IF(G396="","",IF('Loan Terms'!$C$13="Fixed",(E396="Yes")*J396+(E396="No")*'Loan Terms'!$H$19,PMT(F396/12,'Loan Terms'!$G$11-B396+1,-G396)))</f>
        <v/>
      </c>
      <c r="I396" s="12" t="str">
        <f>IF(B396="","",IF(B396='Loan Terms'!$H$9*12,G396,H396-J396))</f>
        <v/>
      </c>
      <c r="J396" s="130" t="str">
        <f>IF(B396="","",IF('Loan Terms'!$H$15="Actual/365",F396*(C396/365),F396*(C396/360))*G396)</f>
        <v/>
      </c>
      <c r="K396" s="12" t="str">
        <f t="shared" si="47"/>
        <v/>
      </c>
      <c r="L396" s="130" t="str">
        <f t="shared" si="51"/>
        <v/>
      </c>
      <c r="N396" s="14" t="str">
        <f t="shared" si="52"/>
        <v/>
      </c>
      <c r="S396" s="217" t="str">
        <f t="shared" si="48"/>
        <v/>
      </c>
      <c r="T396" s="218" t="str">
        <f t="shared" si="46"/>
        <v/>
      </c>
      <c r="U396" s="219" t="str">
        <f>IF(S396="","",'Loan Terms'!$H$14)</f>
        <v/>
      </c>
      <c r="V396" s="220" t="str">
        <f t="shared" si="53"/>
        <v/>
      </c>
    </row>
    <row r="397" spans="2:22" ht="14.25" customHeight="1" x14ac:dyDescent="0.2">
      <c r="B397" s="126" t="str">
        <f>IF(OR(B396="",B396='Loan Terms'!$H$9*12),"",B396+1)</f>
        <v/>
      </c>
      <c r="C397" s="128" t="str">
        <f>IF(B397="","",IF('Loan Terms'!$H$15="30/360",30,D397-D396))</f>
        <v/>
      </c>
      <c r="D397" s="129" t="str">
        <f t="shared" si="49"/>
        <v/>
      </c>
      <c r="E397" s="129" t="str">
        <f>IF(B397="","",IF(B397&lt;='Loan Terms'!$G$10,"Yes","No"))</f>
        <v/>
      </c>
      <c r="F397" s="101" t="str">
        <f>IF(B397="","",IF('Loan Terms'!$C$13="Fixed",'Loan Terms'!$H$17,V397))</f>
        <v/>
      </c>
      <c r="G397" s="12" t="str">
        <f t="shared" si="50"/>
        <v/>
      </c>
      <c r="H397" s="12" t="str">
        <f>IF(G397="","",IF('Loan Terms'!$C$13="Fixed",(E397="Yes")*J397+(E397="No")*'Loan Terms'!$H$19,PMT(F397/12,'Loan Terms'!$G$11-B397+1,-G397)))</f>
        <v/>
      </c>
      <c r="I397" s="12" t="str">
        <f>IF(B397="","",IF(B397='Loan Terms'!$H$9*12,G397,H397-J397))</f>
        <v/>
      </c>
      <c r="J397" s="130" t="str">
        <f>IF(B397="","",IF('Loan Terms'!$H$15="Actual/365",F397*(C397/365),F397*(C397/360))*G397)</f>
        <v/>
      </c>
      <c r="K397" s="12" t="str">
        <f t="shared" si="47"/>
        <v/>
      </c>
      <c r="L397" s="130" t="str">
        <f t="shared" si="51"/>
        <v/>
      </c>
      <c r="N397" s="14" t="str">
        <f t="shared" si="52"/>
        <v/>
      </c>
      <c r="S397" s="217" t="str">
        <f t="shared" si="48"/>
        <v/>
      </c>
      <c r="T397" s="218" t="str">
        <f t="shared" si="46"/>
        <v/>
      </c>
      <c r="U397" s="219" t="str">
        <f>IF(S397="","",'Loan Terms'!$H$14)</f>
        <v/>
      </c>
      <c r="V397" s="220" t="str">
        <f t="shared" si="53"/>
        <v/>
      </c>
    </row>
    <row r="398" spans="2:22" ht="14.25" customHeight="1" x14ac:dyDescent="0.2">
      <c r="B398" s="126" t="str">
        <f>IF(OR(B397="",B397='Loan Terms'!$H$9*12),"",B397+1)</f>
        <v/>
      </c>
      <c r="C398" s="128" t="str">
        <f>IF(B398="","",IF('Loan Terms'!$H$15="30/360",30,D398-D397))</f>
        <v/>
      </c>
      <c r="D398" s="129" t="str">
        <f t="shared" si="49"/>
        <v/>
      </c>
      <c r="E398" s="129" t="str">
        <f>IF(B398="","",IF(B398&lt;='Loan Terms'!$G$10,"Yes","No"))</f>
        <v/>
      </c>
      <c r="F398" s="101" t="str">
        <f>IF(B398="","",IF('Loan Terms'!$C$13="Fixed",'Loan Terms'!$H$17,V398))</f>
        <v/>
      </c>
      <c r="G398" s="12" t="str">
        <f t="shared" si="50"/>
        <v/>
      </c>
      <c r="H398" s="12" t="str">
        <f>IF(G398="","",IF('Loan Terms'!$C$13="Fixed",(E398="Yes")*J398+(E398="No")*'Loan Terms'!$H$19,PMT(F398/12,'Loan Terms'!$G$11-B398+1,-G398)))</f>
        <v/>
      </c>
      <c r="I398" s="12" t="str">
        <f>IF(B398="","",IF(B398='Loan Terms'!$H$9*12,G398,H398-J398))</f>
        <v/>
      </c>
      <c r="J398" s="130" t="str">
        <f>IF(B398="","",IF('Loan Terms'!$H$15="Actual/365",F398*(C398/365),F398*(C398/360))*G398)</f>
        <v/>
      </c>
      <c r="K398" s="12" t="str">
        <f t="shared" si="47"/>
        <v/>
      </c>
      <c r="L398" s="130" t="str">
        <f t="shared" si="51"/>
        <v/>
      </c>
      <c r="N398" s="14" t="str">
        <f t="shared" si="52"/>
        <v/>
      </c>
      <c r="S398" s="217" t="str">
        <f t="shared" si="48"/>
        <v/>
      </c>
      <c r="T398" s="218" t="str">
        <f t="shared" si="46"/>
        <v/>
      </c>
      <c r="U398" s="219" t="str">
        <f>IF(S398="","",'Loan Terms'!$H$14)</f>
        <v/>
      </c>
      <c r="V398" s="220" t="str">
        <f t="shared" si="53"/>
        <v/>
      </c>
    </row>
    <row r="399" spans="2:22" ht="14.25" customHeight="1" x14ac:dyDescent="0.2">
      <c r="B399" s="126" t="str">
        <f>IF(OR(B398="",B398='Loan Terms'!$H$9*12),"",B398+1)</f>
        <v/>
      </c>
      <c r="C399" s="128" t="str">
        <f>IF(B399="","",IF('Loan Terms'!$H$15="30/360",30,D399-D398))</f>
        <v/>
      </c>
      <c r="D399" s="129" t="str">
        <f t="shared" si="49"/>
        <v/>
      </c>
      <c r="E399" s="129" t="str">
        <f>IF(B399="","",IF(B399&lt;='Loan Terms'!$G$10,"Yes","No"))</f>
        <v/>
      </c>
      <c r="F399" s="101" t="str">
        <f>IF(B399="","",IF('Loan Terms'!$C$13="Fixed",'Loan Terms'!$H$17,V399))</f>
        <v/>
      </c>
      <c r="G399" s="12" t="str">
        <f t="shared" si="50"/>
        <v/>
      </c>
      <c r="H399" s="12" t="str">
        <f>IF(G399="","",IF('Loan Terms'!$C$13="Fixed",(E399="Yes")*J399+(E399="No")*'Loan Terms'!$H$19,PMT(F399/12,'Loan Terms'!$G$11-B399+1,-G399)))</f>
        <v/>
      </c>
      <c r="I399" s="12" t="str">
        <f>IF(B399="","",IF(B399='Loan Terms'!$H$9*12,G399,H399-J399))</f>
        <v/>
      </c>
      <c r="J399" s="130" t="str">
        <f>IF(B399="","",IF('Loan Terms'!$H$15="Actual/365",F399*(C399/365),F399*(C399/360))*G399)</f>
        <v/>
      </c>
      <c r="K399" s="12" t="str">
        <f t="shared" si="47"/>
        <v/>
      </c>
      <c r="L399" s="130" t="str">
        <f t="shared" si="51"/>
        <v/>
      </c>
      <c r="N399" s="14" t="str">
        <f t="shared" si="52"/>
        <v/>
      </c>
      <c r="S399" s="217" t="str">
        <f t="shared" si="48"/>
        <v/>
      </c>
      <c r="T399" s="218" t="str">
        <f t="shared" si="46"/>
        <v/>
      </c>
      <c r="U399" s="219" t="str">
        <f>IF(S399="","",'Loan Terms'!$H$14)</f>
        <v/>
      </c>
      <c r="V399" s="220" t="str">
        <f t="shared" si="53"/>
        <v/>
      </c>
    </row>
    <row r="400" spans="2:22" ht="14.25" customHeight="1" x14ac:dyDescent="0.2">
      <c r="B400" s="126" t="str">
        <f>IF(OR(B399="",B399='Loan Terms'!$H$9*12),"",B399+1)</f>
        <v/>
      </c>
      <c r="C400" s="128" t="str">
        <f>IF(B400="","",IF('Loan Terms'!$H$15="30/360",30,D400-D399))</f>
        <v/>
      </c>
      <c r="D400" s="129" t="str">
        <f t="shared" si="49"/>
        <v/>
      </c>
      <c r="E400" s="129" t="str">
        <f>IF(B400="","",IF(B400&lt;='Loan Terms'!$G$10,"Yes","No"))</f>
        <v/>
      </c>
      <c r="F400" s="101" t="str">
        <f>IF(B400="","",IF('Loan Terms'!$C$13="Fixed",'Loan Terms'!$H$17,V400))</f>
        <v/>
      </c>
      <c r="G400" s="12" t="str">
        <f t="shared" si="50"/>
        <v/>
      </c>
      <c r="H400" s="12" t="str">
        <f>IF(G400="","",IF('Loan Terms'!$C$13="Fixed",(E400="Yes")*J400+(E400="No")*'Loan Terms'!$H$19,PMT(F400/12,'Loan Terms'!$G$11-B400+1,-G400)))</f>
        <v/>
      </c>
      <c r="I400" s="12" t="str">
        <f>IF(B400="","",IF(B400='Loan Terms'!$H$9*12,G400,H400-J400))</f>
        <v/>
      </c>
      <c r="J400" s="130" t="str">
        <f>IF(B400="","",IF('Loan Terms'!$H$15="Actual/365",F400*(C400/365),F400*(C400/360))*G400)</f>
        <v/>
      </c>
      <c r="K400" s="12" t="str">
        <f t="shared" si="47"/>
        <v/>
      </c>
      <c r="L400" s="130" t="str">
        <f t="shared" si="51"/>
        <v/>
      </c>
      <c r="N400" s="14" t="str">
        <f t="shared" si="52"/>
        <v/>
      </c>
      <c r="S400" s="217" t="str">
        <f t="shared" si="48"/>
        <v/>
      </c>
      <c r="T400" s="218" t="str">
        <f t="shared" si="46"/>
        <v/>
      </c>
      <c r="U400" s="219" t="str">
        <f>IF(S400="","",'Loan Terms'!$H$14)</f>
        <v/>
      </c>
      <c r="V400" s="220" t="str">
        <f t="shared" si="53"/>
        <v/>
      </c>
    </row>
    <row r="401" spans="2:22" ht="14.25" customHeight="1" x14ac:dyDescent="0.2">
      <c r="B401" s="126" t="str">
        <f>IF(OR(B400="",B400='Loan Terms'!$H$9*12),"",B400+1)</f>
        <v/>
      </c>
      <c r="C401" s="128" t="str">
        <f>IF(B401="","",IF('Loan Terms'!$H$15="30/360",30,D401-D400))</f>
        <v/>
      </c>
      <c r="D401" s="129" t="str">
        <f t="shared" si="49"/>
        <v/>
      </c>
      <c r="E401" s="129" t="str">
        <f>IF(B401="","",IF(B401&lt;='Loan Terms'!$G$10,"Yes","No"))</f>
        <v/>
      </c>
      <c r="F401" s="101" t="str">
        <f>IF(B401="","",IF('Loan Terms'!$C$13="Fixed",'Loan Terms'!$H$17,V401))</f>
        <v/>
      </c>
      <c r="G401" s="12" t="str">
        <f t="shared" si="50"/>
        <v/>
      </c>
      <c r="H401" s="12" t="str">
        <f>IF(G401="","",IF('Loan Terms'!$C$13="Fixed",(E401="Yes")*J401+(E401="No")*'Loan Terms'!$H$19,PMT(F401/12,'Loan Terms'!$G$11-B401+1,-G401)))</f>
        <v/>
      </c>
      <c r="I401" s="12" t="str">
        <f>IF(B401="","",IF(B401='Loan Terms'!$H$9*12,G401,H401-J401))</f>
        <v/>
      </c>
      <c r="J401" s="130" t="str">
        <f>IF(B401="","",IF('Loan Terms'!$H$15="Actual/365",F401*(C401/365),F401*(C401/360))*G401)</f>
        <v/>
      </c>
      <c r="K401" s="12" t="str">
        <f t="shared" si="47"/>
        <v/>
      </c>
      <c r="L401" s="130" t="str">
        <f t="shared" si="51"/>
        <v/>
      </c>
      <c r="N401" s="14" t="str">
        <f t="shared" si="52"/>
        <v/>
      </c>
      <c r="S401" s="217" t="str">
        <f t="shared" si="48"/>
        <v/>
      </c>
      <c r="T401" s="218" t="str">
        <f t="shared" si="46"/>
        <v/>
      </c>
      <c r="U401" s="219" t="str">
        <f>IF(S401="","",'Loan Terms'!$H$14)</f>
        <v/>
      </c>
      <c r="V401" s="220" t="str">
        <f t="shared" si="53"/>
        <v/>
      </c>
    </row>
    <row r="402" spans="2:22" ht="14.25" customHeight="1" x14ac:dyDescent="0.2">
      <c r="B402" s="126" t="str">
        <f>IF(OR(B401="",B401='Loan Terms'!$H$9*12),"",B401+1)</f>
        <v/>
      </c>
      <c r="C402" s="128" t="str">
        <f>IF(B402="","",IF('Loan Terms'!$H$15="30/360",30,D402-D401))</f>
        <v/>
      </c>
      <c r="D402" s="129" t="str">
        <f t="shared" si="49"/>
        <v/>
      </c>
      <c r="E402" s="129" t="str">
        <f>IF(B402="","",IF(B402&lt;='Loan Terms'!$G$10,"Yes","No"))</f>
        <v/>
      </c>
      <c r="F402" s="101" t="str">
        <f>IF(B402="","",IF('Loan Terms'!$C$13="Fixed",'Loan Terms'!$H$17,V402))</f>
        <v/>
      </c>
      <c r="G402" s="12" t="str">
        <f t="shared" si="50"/>
        <v/>
      </c>
      <c r="H402" s="12" t="str">
        <f>IF(G402="","",IF('Loan Terms'!$C$13="Fixed",(E402="Yes")*J402+(E402="No")*'Loan Terms'!$H$19,PMT(F402/12,'Loan Terms'!$G$11-B402+1,-G402)))</f>
        <v/>
      </c>
      <c r="I402" s="12" t="str">
        <f>IF(B402="","",IF(B402='Loan Terms'!$H$9*12,G402,H402-J402))</f>
        <v/>
      </c>
      <c r="J402" s="130" t="str">
        <f>IF(B402="","",IF('Loan Terms'!$H$15="Actual/365",F402*(C402/365),F402*(C402/360))*G402)</f>
        <v/>
      </c>
      <c r="K402" s="12" t="str">
        <f t="shared" si="47"/>
        <v/>
      </c>
      <c r="L402" s="130" t="str">
        <f t="shared" si="51"/>
        <v/>
      </c>
      <c r="N402" s="14" t="str">
        <f t="shared" si="52"/>
        <v/>
      </c>
      <c r="S402" s="217" t="str">
        <f t="shared" si="48"/>
        <v/>
      </c>
      <c r="T402" s="218" t="str">
        <f t="shared" si="46"/>
        <v/>
      </c>
      <c r="U402" s="219" t="str">
        <f>IF(S402="","",'Loan Terms'!$H$14)</f>
        <v/>
      </c>
      <c r="V402" s="220" t="str">
        <f t="shared" si="53"/>
        <v/>
      </c>
    </row>
    <row r="403" spans="2:22" ht="14.25" customHeight="1" x14ac:dyDescent="0.2">
      <c r="B403" s="126" t="str">
        <f>IF(OR(B402="",B402='Loan Terms'!$H$9*12),"",B402+1)</f>
        <v/>
      </c>
      <c r="C403" s="128" t="str">
        <f>IF(B403="","",IF('Loan Terms'!$H$15="30/360",30,D403-D402))</f>
        <v/>
      </c>
      <c r="D403" s="129" t="str">
        <f t="shared" si="49"/>
        <v/>
      </c>
      <c r="E403" s="129" t="str">
        <f>IF(B403="","",IF(B403&lt;='Loan Terms'!$G$10,"Yes","No"))</f>
        <v/>
      </c>
      <c r="F403" s="101" t="str">
        <f>IF(B403="","",IF('Loan Terms'!$C$13="Fixed",'Loan Terms'!$H$17,V403))</f>
        <v/>
      </c>
      <c r="G403" s="12" t="str">
        <f t="shared" si="50"/>
        <v/>
      </c>
      <c r="H403" s="12" t="str">
        <f>IF(G403="","",IF('Loan Terms'!$C$13="Fixed",(E403="Yes")*J403+(E403="No")*'Loan Terms'!$H$19,PMT(F403/12,'Loan Terms'!$G$11-B403+1,-G403)))</f>
        <v/>
      </c>
      <c r="I403" s="12" t="str">
        <f>IF(B403="","",IF(B403='Loan Terms'!$H$9*12,G403,H403-J403))</f>
        <v/>
      </c>
      <c r="J403" s="130" t="str">
        <f>IF(B403="","",IF('Loan Terms'!$H$15="Actual/365",F403*(C403/365),F403*(C403/360))*G403)</f>
        <v/>
      </c>
      <c r="K403" s="12" t="str">
        <f t="shared" si="47"/>
        <v/>
      </c>
      <c r="L403" s="130" t="str">
        <f t="shared" si="51"/>
        <v/>
      </c>
      <c r="N403" s="14" t="str">
        <f t="shared" si="52"/>
        <v/>
      </c>
      <c r="S403" s="217" t="str">
        <f t="shared" si="48"/>
        <v/>
      </c>
      <c r="T403" s="218" t="str">
        <f t="shared" si="46"/>
        <v/>
      </c>
      <c r="U403" s="219" t="str">
        <f>IF(S403="","",'Loan Terms'!$H$14)</f>
        <v/>
      </c>
      <c r="V403" s="220" t="str">
        <f t="shared" si="53"/>
        <v/>
      </c>
    </row>
    <row r="404" spans="2:22" ht="14.25" customHeight="1" x14ac:dyDescent="0.2">
      <c r="B404" s="126" t="str">
        <f>IF(OR(B403="",B403='Loan Terms'!$H$9*12),"",B403+1)</f>
        <v/>
      </c>
      <c r="C404" s="128" t="str">
        <f>IF(B404="","",IF('Loan Terms'!$H$15="30/360",30,D404-D403))</f>
        <v/>
      </c>
      <c r="D404" s="129" t="str">
        <f t="shared" si="49"/>
        <v/>
      </c>
      <c r="E404" s="129" t="str">
        <f>IF(B404="","",IF(B404&lt;='Loan Terms'!$G$10,"Yes","No"))</f>
        <v/>
      </c>
      <c r="F404" s="101" t="str">
        <f>IF(B404="","",IF('Loan Terms'!$C$13="Fixed",'Loan Terms'!$H$17,V404))</f>
        <v/>
      </c>
      <c r="G404" s="12" t="str">
        <f t="shared" si="50"/>
        <v/>
      </c>
      <c r="H404" s="12" t="str">
        <f>IF(G404="","",IF('Loan Terms'!$C$13="Fixed",(E404="Yes")*J404+(E404="No")*'Loan Terms'!$H$19,PMT(F404/12,'Loan Terms'!$G$11-B404+1,-G404)))</f>
        <v/>
      </c>
      <c r="I404" s="12" t="str">
        <f>IF(B404="","",IF(B404='Loan Terms'!$H$9*12,G404,H404-J404))</f>
        <v/>
      </c>
      <c r="J404" s="130" t="str">
        <f>IF(B404="","",IF('Loan Terms'!$H$15="Actual/365",F404*(C404/365),F404*(C404/360))*G404)</f>
        <v/>
      </c>
      <c r="K404" s="12" t="str">
        <f t="shared" si="47"/>
        <v/>
      </c>
      <c r="L404" s="130" t="str">
        <f t="shared" si="51"/>
        <v/>
      </c>
      <c r="N404" s="14" t="str">
        <f t="shared" si="52"/>
        <v/>
      </c>
      <c r="S404" s="217" t="str">
        <f t="shared" si="48"/>
        <v/>
      </c>
      <c r="T404" s="218" t="str">
        <f t="shared" si="46"/>
        <v/>
      </c>
      <c r="U404" s="219" t="str">
        <f>IF(S404="","",'Loan Terms'!$H$14)</f>
        <v/>
      </c>
      <c r="V404" s="220" t="str">
        <f t="shared" si="53"/>
        <v/>
      </c>
    </row>
    <row r="405" spans="2:22" ht="14.25" customHeight="1" x14ac:dyDescent="0.2">
      <c r="B405" s="126" t="str">
        <f>IF(OR(B404="",B404='Loan Terms'!$H$9*12),"",B404+1)</f>
        <v/>
      </c>
      <c r="C405" s="128" t="str">
        <f>IF(B405="","",IF('Loan Terms'!$H$15="30/360",30,D405-D404))</f>
        <v/>
      </c>
      <c r="D405" s="129" t="str">
        <f t="shared" si="49"/>
        <v/>
      </c>
      <c r="E405" s="129" t="str">
        <f>IF(B405="","",IF(B405&lt;='Loan Terms'!$G$10,"Yes","No"))</f>
        <v/>
      </c>
      <c r="F405" s="101" t="str">
        <f>IF(B405="","",IF('Loan Terms'!$C$13="Fixed",'Loan Terms'!$H$17,V405))</f>
        <v/>
      </c>
      <c r="G405" s="12" t="str">
        <f t="shared" si="50"/>
        <v/>
      </c>
      <c r="H405" s="12" t="str">
        <f>IF(G405="","",IF('Loan Terms'!$C$13="Fixed",(E405="Yes")*J405+(E405="No")*'Loan Terms'!$H$19,PMT(F405/12,'Loan Terms'!$G$11-B405+1,-G405)))</f>
        <v/>
      </c>
      <c r="I405" s="12" t="str">
        <f>IF(B405="","",IF(B405='Loan Terms'!$H$9*12,G405,H405-J405))</f>
        <v/>
      </c>
      <c r="J405" s="130" t="str">
        <f>IF(B405="","",IF('Loan Terms'!$H$15="Actual/365",F405*(C405/365),F405*(C405/360))*G405)</f>
        <v/>
      </c>
      <c r="K405" s="12" t="str">
        <f t="shared" si="47"/>
        <v/>
      </c>
      <c r="L405" s="130" t="str">
        <f t="shared" si="51"/>
        <v/>
      </c>
      <c r="N405" s="14" t="str">
        <f t="shared" si="52"/>
        <v/>
      </c>
      <c r="S405" s="217" t="str">
        <f t="shared" si="48"/>
        <v/>
      </c>
      <c r="T405" s="218" t="str">
        <f t="shared" si="46"/>
        <v/>
      </c>
      <c r="U405" s="219" t="str">
        <f>IF(S405="","",'Loan Terms'!$H$14)</f>
        <v/>
      </c>
      <c r="V405" s="220" t="str">
        <f t="shared" si="53"/>
        <v/>
      </c>
    </row>
    <row r="406" spans="2:22" ht="14.25" customHeight="1" x14ac:dyDescent="0.2">
      <c r="B406" s="126" t="str">
        <f>IF(OR(B405="",B405='Loan Terms'!$H$9*12),"",B405+1)</f>
        <v/>
      </c>
      <c r="C406" s="128" t="str">
        <f>IF(B406="","",IF('Loan Terms'!$H$15="30/360",30,D406-D405))</f>
        <v/>
      </c>
      <c r="D406" s="129" t="str">
        <f t="shared" si="49"/>
        <v/>
      </c>
      <c r="E406" s="129" t="str">
        <f>IF(B406="","",IF(B406&lt;='Loan Terms'!$G$10,"Yes","No"))</f>
        <v/>
      </c>
      <c r="F406" s="101" t="str">
        <f>IF(B406="","",IF('Loan Terms'!$C$13="Fixed",'Loan Terms'!$H$17,V406))</f>
        <v/>
      </c>
      <c r="G406" s="12" t="str">
        <f t="shared" si="50"/>
        <v/>
      </c>
      <c r="H406" s="12" t="str">
        <f>IF(G406="","",IF('Loan Terms'!$C$13="Fixed",(E406="Yes")*J406+(E406="No")*'Loan Terms'!$H$19,PMT(F406/12,'Loan Terms'!$G$11-B406+1,-G406)))</f>
        <v/>
      </c>
      <c r="I406" s="12" t="str">
        <f>IF(B406="","",IF(B406='Loan Terms'!$H$9*12,G406,H406-J406))</f>
        <v/>
      </c>
      <c r="J406" s="130" t="str">
        <f>IF(B406="","",IF('Loan Terms'!$H$15="Actual/365",F406*(C406/365),F406*(C406/360))*G406)</f>
        <v/>
      </c>
      <c r="K406" s="12" t="str">
        <f t="shared" si="47"/>
        <v/>
      </c>
      <c r="L406" s="130" t="str">
        <f t="shared" si="51"/>
        <v/>
      </c>
      <c r="N406" s="14" t="str">
        <f t="shared" si="52"/>
        <v/>
      </c>
      <c r="S406" s="217" t="str">
        <f t="shared" si="48"/>
        <v/>
      </c>
      <c r="T406" s="218" t="str">
        <f t="shared" si="46"/>
        <v/>
      </c>
      <c r="U406" s="219" t="str">
        <f>IF(S406="","",'Loan Terms'!$H$14)</f>
        <v/>
      </c>
      <c r="V406" s="220" t="str">
        <f t="shared" si="53"/>
        <v/>
      </c>
    </row>
    <row r="407" spans="2:22" ht="14.25" customHeight="1" x14ac:dyDescent="0.2">
      <c r="B407" s="126" t="str">
        <f>IF(OR(B406="",B406='Loan Terms'!$H$9*12),"",B406+1)</f>
        <v/>
      </c>
      <c r="C407" s="128" t="str">
        <f>IF(B407="","",IF('Loan Terms'!$H$15="30/360",30,D407-D406))</f>
        <v/>
      </c>
      <c r="D407" s="129" t="str">
        <f t="shared" si="49"/>
        <v/>
      </c>
      <c r="E407" s="129" t="str">
        <f>IF(B407="","",IF(B407&lt;='Loan Terms'!$G$10,"Yes","No"))</f>
        <v/>
      </c>
      <c r="F407" s="101" t="str">
        <f>IF(B407="","",IF('Loan Terms'!$C$13="Fixed",'Loan Terms'!$H$17,V407))</f>
        <v/>
      </c>
      <c r="G407" s="12" t="str">
        <f t="shared" si="50"/>
        <v/>
      </c>
      <c r="H407" s="12" t="str">
        <f>IF(G407="","",IF('Loan Terms'!$C$13="Fixed",(E407="Yes")*J407+(E407="No")*'Loan Terms'!$H$19,PMT(F407/12,'Loan Terms'!$G$11-B407+1,-G407)))</f>
        <v/>
      </c>
      <c r="I407" s="12" t="str">
        <f>IF(B407="","",IF(B407='Loan Terms'!$H$9*12,G407,H407-J407))</f>
        <v/>
      </c>
      <c r="J407" s="130" t="str">
        <f>IF(B407="","",IF('Loan Terms'!$H$15="Actual/365",F407*(C407/365),F407*(C407/360))*G407)</f>
        <v/>
      </c>
      <c r="K407" s="12" t="str">
        <f t="shared" si="47"/>
        <v/>
      </c>
      <c r="L407" s="130" t="str">
        <f t="shared" si="51"/>
        <v/>
      </c>
      <c r="N407" s="14" t="str">
        <f t="shared" si="52"/>
        <v/>
      </c>
      <c r="S407" s="217" t="str">
        <f t="shared" si="48"/>
        <v/>
      </c>
      <c r="T407" s="218" t="str">
        <f t="shared" si="46"/>
        <v/>
      </c>
      <c r="U407" s="219" t="str">
        <f>IF(S407="","",'Loan Terms'!$H$14)</f>
        <v/>
      </c>
      <c r="V407" s="220" t="str">
        <f t="shared" si="53"/>
        <v/>
      </c>
    </row>
    <row r="408" spans="2:22" ht="14.25" customHeight="1" x14ac:dyDescent="0.2">
      <c r="B408" s="126" t="str">
        <f>IF(OR(B407="",B407='Loan Terms'!$H$9*12),"",B407+1)</f>
        <v/>
      </c>
      <c r="C408" s="128" t="str">
        <f>IF(B408="","",IF('Loan Terms'!$H$15="30/360",30,D408-D407))</f>
        <v/>
      </c>
      <c r="D408" s="129" t="str">
        <f t="shared" si="49"/>
        <v/>
      </c>
      <c r="E408" s="129" t="str">
        <f>IF(B408="","",IF(B408&lt;='Loan Terms'!$G$10,"Yes","No"))</f>
        <v/>
      </c>
      <c r="F408" s="101" t="str">
        <f>IF(B408="","",IF('Loan Terms'!$C$13="Fixed",'Loan Terms'!$H$17,V408))</f>
        <v/>
      </c>
      <c r="G408" s="12" t="str">
        <f t="shared" si="50"/>
        <v/>
      </c>
      <c r="H408" s="12" t="str">
        <f>IF(G408="","",IF('Loan Terms'!$C$13="Fixed",(E408="Yes")*J408+(E408="No")*'Loan Terms'!$H$19,PMT(F408/12,'Loan Terms'!$G$11-B408+1,-G408)))</f>
        <v/>
      </c>
      <c r="I408" s="12" t="str">
        <f>IF(B408="","",IF(B408='Loan Terms'!$H$9*12,G408,H408-J408))</f>
        <v/>
      </c>
      <c r="J408" s="130" t="str">
        <f>IF(B408="","",IF('Loan Terms'!$H$15="Actual/365",F408*(C408/365),F408*(C408/360))*G408)</f>
        <v/>
      </c>
      <c r="K408" s="12" t="str">
        <f t="shared" si="47"/>
        <v/>
      </c>
      <c r="L408" s="130" t="str">
        <f t="shared" si="51"/>
        <v/>
      </c>
      <c r="N408" s="14" t="str">
        <f t="shared" si="52"/>
        <v/>
      </c>
      <c r="S408" s="217" t="str">
        <f t="shared" si="48"/>
        <v/>
      </c>
      <c r="T408" s="218" t="str">
        <f t="shared" si="46"/>
        <v/>
      </c>
      <c r="U408" s="219" t="str">
        <f>IF(S408="","",'Loan Terms'!$H$14)</f>
        <v/>
      </c>
      <c r="V408" s="220" t="str">
        <f t="shared" si="53"/>
        <v/>
      </c>
    </row>
    <row r="409" spans="2:22" ht="14.25" customHeight="1" x14ac:dyDescent="0.2">
      <c r="B409" s="126" t="str">
        <f>IF(OR(B408="",B408='Loan Terms'!$H$9*12),"",B408+1)</f>
        <v/>
      </c>
      <c r="C409" s="128" t="str">
        <f>IF(B409="","",IF('Loan Terms'!$H$15="30/360",30,D409-D408))</f>
        <v/>
      </c>
      <c r="D409" s="129" t="str">
        <f t="shared" si="49"/>
        <v/>
      </c>
      <c r="E409" s="129" t="str">
        <f>IF(B409="","",IF(B409&lt;='Loan Terms'!$G$10,"Yes","No"))</f>
        <v/>
      </c>
      <c r="F409" s="101" t="str">
        <f>IF(B409="","",IF('Loan Terms'!$C$13="Fixed",'Loan Terms'!$H$17,V409))</f>
        <v/>
      </c>
      <c r="G409" s="12" t="str">
        <f t="shared" si="50"/>
        <v/>
      </c>
      <c r="H409" s="12" t="str">
        <f>IF(G409="","",IF('Loan Terms'!$C$13="Fixed",(E409="Yes")*J409+(E409="No")*'Loan Terms'!$H$19,PMT(F409/12,'Loan Terms'!$G$11-B409+1,-G409)))</f>
        <v/>
      </c>
      <c r="I409" s="12" t="str">
        <f>IF(B409="","",IF(B409='Loan Terms'!$H$9*12,G409,H409-J409))</f>
        <v/>
      </c>
      <c r="J409" s="130" t="str">
        <f>IF(B409="","",IF('Loan Terms'!$H$15="Actual/365",F409*(C409/365),F409*(C409/360))*G409)</f>
        <v/>
      </c>
      <c r="K409" s="12" t="str">
        <f t="shared" si="47"/>
        <v/>
      </c>
      <c r="L409" s="130" t="str">
        <f t="shared" si="51"/>
        <v/>
      </c>
      <c r="N409" s="14" t="str">
        <f t="shared" si="52"/>
        <v/>
      </c>
      <c r="S409" s="217" t="str">
        <f t="shared" si="48"/>
        <v/>
      </c>
      <c r="T409" s="218" t="str">
        <f t="shared" si="46"/>
        <v/>
      </c>
      <c r="U409" s="219" t="str">
        <f>IF(S409="","",'Loan Terms'!$H$14)</f>
        <v/>
      </c>
      <c r="V409" s="220" t="str">
        <f t="shared" si="53"/>
        <v/>
      </c>
    </row>
    <row r="410" spans="2:22" ht="14.25" customHeight="1" x14ac:dyDescent="0.2">
      <c r="B410" s="126" t="str">
        <f>IF(OR(B409="",B409='Loan Terms'!$H$9*12),"",B409+1)</f>
        <v/>
      </c>
      <c r="C410" s="128" t="str">
        <f>IF(B410="","",IF('Loan Terms'!$H$15="30/360",30,D410-D409))</f>
        <v/>
      </c>
      <c r="D410" s="129" t="str">
        <f t="shared" si="49"/>
        <v/>
      </c>
      <c r="E410" s="129" t="str">
        <f>IF(B410="","",IF(B410&lt;='Loan Terms'!$G$10,"Yes","No"))</f>
        <v/>
      </c>
      <c r="F410" s="101" t="str">
        <f>IF(B410="","",IF('Loan Terms'!$C$13="Fixed",'Loan Terms'!$H$17,V410))</f>
        <v/>
      </c>
      <c r="G410" s="12" t="str">
        <f t="shared" si="50"/>
        <v/>
      </c>
      <c r="H410" s="12" t="str">
        <f>IF(G410="","",IF('Loan Terms'!$C$13="Fixed",(E410="Yes")*J410+(E410="No")*'Loan Terms'!$H$19,PMT(F410/12,'Loan Terms'!$G$11-B410+1,-G410)))</f>
        <v/>
      </c>
      <c r="I410" s="12" t="str">
        <f>IF(B410="","",IF(B410='Loan Terms'!$H$9*12,G410,H410-J410))</f>
        <v/>
      </c>
      <c r="J410" s="130" t="str">
        <f>IF(B410="","",IF('Loan Terms'!$H$15="Actual/365",F410*(C410/365),F410*(C410/360))*G410)</f>
        <v/>
      </c>
      <c r="K410" s="12" t="str">
        <f t="shared" si="47"/>
        <v/>
      </c>
      <c r="L410" s="130" t="str">
        <f t="shared" si="51"/>
        <v/>
      </c>
      <c r="N410" s="14" t="str">
        <f t="shared" si="52"/>
        <v/>
      </c>
      <c r="S410" s="217" t="str">
        <f t="shared" si="48"/>
        <v/>
      </c>
      <c r="T410" s="218" t="str">
        <f t="shared" si="46"/>
        <v/>
      </c>
      <c r="U410" s="219" t="str">
        <f>IF(S410="","",'Loan Terms'!$H$14)</f>
        <v/>
      </c>
      <c r="V410" s="220" t="str">
        <f t="shared" si="53"/>
        <v/>
      </c>
    </row>
    <row r="411" spans="2:22" ht="14.25" customHeight="1" x14ac:dyDescent="0.2">
      <c r="B411" s="126" t="str">
        <f>IF(OR(B410="",B410='Loan Terms'!$H$9*12),"",B410+1)</f>
        <v/>
      </c>
      <c r="C411" s="128" t="str">
        <f>IF(B411="","",IF('Loan Terms'!$H$15="30/360",30,D411-D410))</f>
        <v/>
      </c>
      <c r="D411" s="129" t="str">
        <f t="shared" si="49"/>
        <v/>
      </c>
      <c r="E411" s="129" t="str">
        <f>IF(B411="","",IF(B411&lt;='Loan Terms'!$G$10,"Yes","No"))</f>
        <v/>
      </c>
      <c r="F411" s="101" t="str">
        <f>IF(B411="","",IF('Loan Terms'!$C$13="Fixed",'Loan Terms'!$H$17,V411))</f>
        <v/>
      </c>
      <c r="G411" s="12" t="str">
        <f t="shared" si="50"/>
        <v/>
      </c>
      <c r="H411" s="12" t="str">
        <f>IF(G411="","",IF('Loan Terms'!$C$13="Fixed",(E411="Yes")*J411+(E411="No")*'Loan Terms'!$H$19,PMT(F411/12,'Loan Terms'!$G$11-B411+1,-G411)))</f>
        <v/>
      </c>
      <c r="I411" s="12" t="str">
        <f>IF(B411="","",IF(B411='Loan Terms'!$H$9*12,G411,H411-J411))</f>
        <v/>
      </c>
      <c r="J411" s="130" t="str">
        <f>IF(B411="","",IF('Loan Terms'!$H$15="Actual/365",F411*(C411/365),F411*(C411/360))*G411)</f>
        <v/>
      </c>
      <c r="K411" s="12" t="str">
        <f t="shared" si="47"/>
        <v/>
      </c>
      <c r="L411" s="130" t="str">
        <f t="shared" si="51"/>
        <v/>
      </c>
      <c r="N411" s="14" t="str">
        <f t="shared" si="52"/>
        <v/>
      </c>
      <c r="S411" s="217" t="str">
        <f t="shared" si="48"/>
        <v/>
      </c>
      <c r="T411" s="218" t="str">
        <f t="shared" si="46"/>
        <v/>
      </c>
      <c r="U411" s="219" t="str">
        <f>IF(S411="","",'Loan Terms'!$H$14)</f>
        <v/>
      </c>
      <c r="V411" s="220" t="str">
        <f t="shared" si="53"/>
        <v/>
      </c>
    </row>
    <row r="412" spans="2:22" ht="14.25" customHeight="1" x14ac:dyDescent="0.2">
      <c r="B412" s="126" t="str">
        <f>IF(OR(B411="",B411='Loan Terms'!$H$9*12),"",B411+1)</f>
        <v/>
      </c>
      <c r="C412" s="128" t="str">
        <f>IF(B412="","",IF('Loan Terms'!$H$15="30/360",30,D412-D411))</f>
        <v/>
      </c>
      <c r="D412" s="129" t="str">
        <f t="shared" si="49"/>
        <v/>
      </c>
      <c r="E412" s="129" t="str">
        <f>IF(B412="","",IF(B412&lt;='Loan Terms'!$G$10,"Yes","No"))</f>
        <v/>
      </c>
      <c r="F412" s="101" t="str">
        <f>IF(B412="","",IF('Loan Terms'!$C$13="Fixed",'Loan Terms'!$H$17,V412))</f>
        <v/>
      </c>
      <c r="G412" s="12" t="str">
        <f t="shared" si="50"/>
        <v/>
      </c>
      <c r="H412" s="12" t="str">
        <f>IF(G412="","",IF('Loan Terms'!$C$13="Fixed",(E412="Yes")*J412+(E412="No")*'Loan Terms'!$H$19,PMT(F412/12,'Loan Terms'!$G$11-B412+1,-G412)))</f>
        <v/>
      </c>
      <c r="I412" s="12" t="str">
        <f>IF(B412="","",IF(B412='Loan Terms'!$H$9*12,G412,H412-J412))</f>
        <v/>
      </c>
      <c r="J412" s="130" t="str">
        <f>IF(B412="","",IF('Loan Terms'!$H$15="Actual/365",F412*(C412/365),F412*(C412/360))*G412)</f>
        <v/>
      </c>
      <c r="K412" s="12" t="str">
        <f t="shared" si="47"/>
        <v/>
      </c>
      <c r="L412" s="130" t="str">
        <f t="shared" si="51"/>
        <v/>
      </c>
      <c r="N412" s="14" t="str">
        <f t="shared" si="52"/>
        <v/>
      </c>
      <c r="S412" s="217" t="str">
        <f t="shared" si="48"/>
        <v/>
      </c>
      <c r="T412" s="218" t="str">
        <f t="shared" si="46"/>
        <v/>
      </c>
      <c r="U412" s="219" t="str">
        <f>IF(S412="","",'Loan Terms'!$H$14)</f>
        <v/>
      </c>
      <c r="V412" s="220" t="str">
        <f t="shared" si="53"/>
        <v/>
      </c>
    </row>
    <row r="413" spans="2:22" ht="14.25" customHeight="1" x14ac:dyDescent="0.2">
      <c r="B413" s="126" t="str">
        <f>IF(OR(B412="",B412='Loan Terms'!$H$9*12),"",B412+1)</f>
        <v/>
      </c>
      <c r="C413" s="128" t="str">
        <f>IF(B413="","",IF('Loan Terms'!$H$15="30/360",30,D413-D412))</f>
        <v/>
      </c>
      <c r="D413" s="129" t="str">
        <f t="shared" si="49"/>
        <v/>
      </c>
      <c r="E413" s="129" t="str">
        <f>IF(B413="","",IF(B413&lt;='Loan Terms'!$G$10,"Yes","No"))</f>
        <v/>
      </c>
      <c r="F413" s="101" t="str">
        <f>IF(B413="","",IF('Loan Terms'!$C$13="Fixed",'Loan Terms'!$H$17,V413))</f>
        <v/>
      </c>
      <c r="G413" s="12" t="str">
        <f t="shared" si="50"/>
        <v/>
      </c>
      <c r="H413" s="12" t="str">
        <f>IF(G413="","",IF('Loan Terms'!$C$13="Fixed",(E413="Yes")*J413+(E413="No")*'Loan Terms'!$H$19,PMT(F413/12,'Loan Terms'!$G$11-B413+1,-G413)))</f>
        <v/>
      </c>
      <c r="I413" s="12" t="str">
        <f>IF(B413="","",IF(B413='Loan Terms'!$H$9*12,G413,H413-J413))</f>
        <v/>
      </c>
      <c r="J413" s="130" t="str">
        <f>IF(B413="","",IF('Loan Terms'!$H$15="Actual/365",F413*(C413/365),F413*(C413/360))*G413)</f>
        <v/>
      </c>
      <c r="K413" s="12" t="str">
        <f t="shared" si="47"/>
        <v/>
      </c>
      <c r="L413" s="130" t="str">
        <f t="shared" si="51"/>
        <v/>
      </c>
      <c r="N413" s="14" t="str">
        <f t="shared" si="52"/>
        <v/>
      </c>
      <c r="S413" s="217" t="str">
        <f t="shared" si="48"/>
        <v/>
      </c>
      <c r="T413" s="218" t="str">
        <f t="shared" si="46"/>
        <v/>
      </c>
      <c r="U413" s="219" t="str">
        <f>IF(S413="","",'Loan Terms'!$H$14)</f>
        <v/>
      </c>
      <c r="V413" s="220" t="str">
        <f t="shared" si="53"/>
        <v/>
      </c>
    </row>
    <row r="414" spans="2:22" ht="14.25" customHeight="1" x14ac:dyDescent="0.2">
      <c r="B414" s="126" t="str">
        <f>IF(OR(B413="",B413='Loan Terms'!$H$9*12),"",B413+1)</f>
        <v/>
      </c>
      <c r="C414" s="128" t="str">
        <f>IF(B414="","",IF('Loan Terms'!$H$15="30/360",30,D414-D413))</f>
        <v/>
      </c>
      <c r="D414" s="129" t="str">
        <f t="shared" si="49"/>
        <v/>
      </c>
      <c r="E414" s="129" t="str">
        <f>IF(B414="","",IF(B414&lt;='Loan Terms'!$G$10,"Yes","No"))</f>
        <v/>
      </c>
      <c r="F414" s="101" t="str">
        <f>IF(B414="","",IF('Loan Terms'!$C$13="Fixed",'Loan Terms'!$H$17,V414))</f>
        <v/>
      </c>
      <c r="G414" s="12" t="str">
        <f t="shared" si="50"/>
        <v/>
      </c>
      <c r="H414" s="12" t="str">
        <f>IF(G414="","",IF('Loan Terms'!$C$13="Fixed",(E414="Yes")*J414+(E414="No")*'Loan Terms'!$H$19,PMT(F414/12,'Loan Terms'!$G$11-B414+1,-G414)))</f>
        <v/>
      </c>
      <c r="I414" s="12" t="str">
        <f>IF(B414="","",IF(B414='Loan Terms'!$H$9*12,G414,H414-J414))</f>
        <v/>
      </c>
      <c r="J414" s="130" t="str">
        <f>IF(B414="","",IF('Loan Terms'!$H$15="Actual/365",F414*(C414/365),F414*(C414/360))*G414)</f>
        <v/>
      </c>
      <c r="K414" s="12" t="str">
        <f t="shared" si="47"/>
        <v/>
      </c>
      <c r="L414" s="130" t="str">
        <f t="shared" si="51"/>
        <v/>
      </c>
      <c r="N414" s="14" t="str">
        <f t="shared" si="52"/>
        <v/>
      </c>
      <c r="S414" s="217" t="str">
        <f t="shared" si="48"/>
        <v/>
      </c>
      <c r="T414" s="218" t="str">
        <f t="shared" si="46"/>
        <v/>
      </c>
      <c r="U414" s="219" t="str">
        <f>IF(S414="","",'Loan Terms'!$H$14)</f>
        <v/>
      </c>
      <c r="V414" s="220" t="str">
        <f t="shared" si="53"/>
        <v/>
      </c>
    </row>
    <row r="415" spans="2:22" ht="14.25" customHeight="1" x14ac:dyDescent="0.2">
      <c r="B415" s="126" t="str">
        <f>IF(OR(B414="",B414='Loan Terms'!$H$9*12),"",B414+1)</f>
        <v/>
      </c>
      <c r="C415" s="128" t="str">
        <f>IF(B415="","",IF('Loan Terms'!$H$15="30/360",30,D415-D414))</f>
        <v/>
      </c>
      <c r="D415" s="129" t="str">
        <f t="shared" si="49"/>
        <v/>
      </c>
      <c r="E415" s="129" t="str">
        <f>IF(B415="","",IF(B415&lt;='Loan Terms'!$G$10,"Yes","No"))</f>
        <v/>
      </c>
      <c r="F415" s="101" t="str">
        <f>IF(B415="","",IF('Loan Terms'!$C$13="Fixed",'Loan Terms'!$H$17,V415))</f>
        <v/>
      </c>
      <c r="G415" s="12" t="str">
        <f t="shared" si="50"/>
        <v/>
      </c>
      <c r="H415" s="12" t="str">
        <f>IF(G415="","",IF('Loan Terms'!$C$13="Fixed",(E415="Yes")*J415+(E415="No")*'Loan Terms'!$H$19,PMT(F415/12,'Loan Terms'!$G$11-B415+1,-G415)))</f>
        <v/>
      </c>
      <c r="I415" s="12" t="str">
        <f>IF(B415="","",IF(B415='Loan Terms'!$H$9*12,G415,H415-J415))</f>
        <v/>
      </c>
      <c r="J415" s="130" t="str">
        <f>IF(B415="","",IF('Loan Terms'!$H$15="Actual/365",F415*(C415/365),F415*(C415/360))*G415)</f>
        <v/>
      </c>
      <c r="K415" s="12" t="str">
        <f t="shared" si="47"/>
        <v/>
      </c>
      <c r="L415" s="130" t="str">
        <f t="shared" si="51"/>
        <v/>
      </c>
      <c r="N415" s="14" t="str">
        <f t="shared" si="52"/>
        <v/>
      </c>
      <c r="S415" s="217" t="str">
        <f t="shared" si="48"/>
        <v/>
      </c>
      <c r="T415" s="218" t="str">
        <f t="shared" si="46"/>
        <v/>
      </c>
      <c r="U415" s="219" t="str">
        <f>IF(S415="","",'Loan Terms'!$H$14)</f>
        <v/>
      </c>
      <c r="V415" s="220" t="str">
        <f t="shared" si="53"/>
        <v/>
      </c>
    </row>
    <row r="416" spans="2:22" ht="14.25" customHeight="1" x14ac:dyDescent="0.2">
      <c r="B416" s="126" t="str">
        <f>IF(OR(B415="",B415='Loan Terms'!$H$9*12),"",B415+1)</f>
        <v/>
      </c>
      <c r="C416" s="128" t="str">
        <f>IF(B416="","",IF('Loan Terms'!$H$15="30/360",30,D416-D415))</f>
        <v/>
      </c>
      <c r="D416" s="129" t="str">
        <f t="shared" si="49"/>
        <v/>
      </c>
      <c r="E416" s="129" t="str">
        <f>IF(B416="","",IF(B416&lt;='Loan Terms'!$G$10,"Yes","No"))</f>
        <v/>
      </c>
      <c r="F416" s="101" t="str">
        <f>IF(B416="","",IF('Loan Terms'!$C$13="Fixed",'Loan Terms'!$H$17,V416))</f>
        <v/>
      </c>
      <c r="G416" s="12" t="str">
        <f t="shared" si="50"/>
        <v/>
      </c>
      <c r="H416" s="12" t="str">
        <f>IF(G416="","",IF('Loan Terms'!$C$13="Fixed",(E416="Yes")*J416+(E416="No")*'Loan Terms'!$H$19,PMT(F416/12,'Loan Terms'!$G$11-B416+1,-G416)))</f>
        <v/>
      </c>
      <c r="I416" s="12" t="str">
        <f>IF(B416="","",IF(B416='Loan Terms'!$H$9*12,G416,H416-J416))</f>
        <v/>
      </c>
      <c r="J416" s="130" t="str">
        <f>IF(B416="","",IF('Loan Terms'!$H$15="Actual/365",F416*(C416/365),F416*(C416/360))*G416)</f>
        <v/>
      </c>
      <c r="K416" s="12" t="str">
        <f t="shared" si="47"/>
        <v/>
      </c>
      <c r="L416" s="130" t="str">
        <f t="shared" si="51"/>
        <v/>
      </c>
      <c r="N416" s="14" t="str">
        <f t="shared" si="52"/>
        <v/>
      </c>
      <c r="S416" s="217" t="str">
        <f t="shared" si="48"/>
        <v/>
      </c>
      <c r="T416" s="218" t="str">
        <f t="shared" si="46"/>
        <v/>
      </c>
      <c r="U416" s="219" t="str">
        <f>IF(S416="","",'Loan Terms'!$H$14)</f>
        <v/>
      </c>
      <c r="V416" s="220" t="str">
        <f t="shared" si="53"/>
        <v/>
      </c>
    </row>
    <row r="417" spans="2:22" ht="14.25" customHeight="1" x14ac:dyDescent="0.2">
      <c r="B417" s="126" t="str">
        <f>IF(OR(B416="",B416='Loan Terms'!$H$9*12),"",B416+1)</f>
        <v/>
      </c>
      <c r="C417" s="128" t="str">
        <f>IF(B417="","",IF('Loan Terms'!$H$15="30/360",30,D417-D416))</f>
        <v/>
      </c>
      <c r="D417" s="129" t="str">
        <f t="shared" si="49"/>
        <v/>
      </c>
      <c r="E417" s="129" t="str">
        <f>IF(B417="","",IF(B417&lt;='Loan Terms'!$G$10,"Yes","No"))</f>
        <v/>
      </c>
      <c r="F417" s="101" t="str">
        <f>IF(B417="","",IF('Loan Terms'!$C$13="Fixed",'Loan Terms'!$H$17,V417))</f>
        <v/>
      </c>
      <c r="G417" s="12" t="str">
        <f t="shared" si="50"/>
        <v/>
      </c>
      <c r="H417" s="12" t="str">
        <f>IF(G417="","",IF('Loan Terms'!$C$13="Fixed",(E417="Yes")*J417+(E417="No")*'Loan Terms'!$H$19,PMT(F417/12,'Loan Terms'!$G$11-B417+1,-G417)))</f>
        <v/>
      </c>
      <c r="I417" s="12" t="str">
        <f>IF(B417="","",IF(B417='Loan Terms'!$H$9*12,G417,H417-J417))</f>
        <v/>
      </c>
      <c r="J417" s="130" t="str">
        <f>IF(B417="","",IF('Loan Terms'!$H$15="Actual/365",F417*(C417/365),F417*(C417/360))*G417)</f>
        <v/>
      </c>
      <c r="K417" s="12" t="str">
        <f t="shared" si="47"/>
        <v/>
      </c>
      <c r="L417" s="130" t="str">
        <f t="shared" si="51"/>
        <v/>
      </c>
      <c r="N417" s="14" t="str">
        <f t="shared" si="52"/>
        <v/>
      </c>
      <c r="S417" s="217" t="str">
        <f t="shared" si="48"/>
        <v/>
      </c>
      <c r="T417" s="218" t="str">
        <f t="shared" si="46"/>
        <v/>
      </c>
      <c r="U417" s="219" t="str">
        <f>IF(S417="","",'Loan Terms'!$H$14)</f>
        <v/>
      </c>
      <c r="V417" s="220" t="str">
        <f t="shared" si="53"/>
        <v/>
      </c>
    </row>
    <row r="418" spans="2:22" ht="14.25" customHeight="1" x14ac:dyDescent="0.2">
      <c r="B418" s="126" t="str">
        <f>IF(OR(B417="",B417='Loan Terms'!$H$9*12),"",B417+1)</f>
        <v/>
      </c>
      <c r="C418" s="128" t="str">
        <f>IF(B418="","",IF('Loan Terms'!$H$15="30/360",30,D418-D417))</f>
        <v/>
      </c>
      <c r="D418" s="129" t="str">
        <f t="shared" si="49"/>
        <v/>
      </c>
      <c r="E418" s="129" t="str">
        <f>IF(B418="","",IF(B418&lt;='Loan Terms'!$G$10,"Yes","No"))</f>
        <v/>
      </c>
      <c r="F418" s="101" t="str">
        <f>IF(B418="","",IF('Loan Terms'!$C$13="Fixed",'Loan Terms'!$H$17,V418))</f>
        <v/>
      </c>
      <c r="G418" s="12" t="str">
        <f t="shared" si="50"/>
        <v/>
      </c>
      <c r="H418" s="12" t="str">
        <f>IF(G418="","",IF('Loan Terms'!$C$13="Fixed",(E418="Yes")*J418+(E418="No")*'Loan Terms'!$H$19,PMT(F418/12,'Loan Terms'!$G$11-B418+1,-G418)))</f>
        <v/>
      </c>
      <c r="I418" s="12" t="str">
        <f>IF(B418="","",IF(B418='Loan Terms'!$H$9*12,G418,H418-J418))</f>
        <v/>
      </c>
      <c r="J418" s="130" t="str">
        <f>IF(B418="","",IF('Loan Terms'!$H$15="Actual/365",F418*(C418/365),F418*(C418/360))*G418)</f>
        <v/>
      </c>
      <c r="K418" s="12" t="str">
        <f t="shared" si="47"/>
        <v/>
      </c>
      <c r="L418" s="130" t="str">
        <f t="shared" si="51"/>
        <v/>
      </c>
      <c r="N418" s="14" t="str">
        <f t="shared" si="52"/>
        <v/>
      </c>
      <c r="S418" s="217" t="str">
        <f t="shared" si="48"/>
        <v/>
      </c>
      <c r="T418" s="218" t="str">
        <f t="shared" si="46"/>
        <v/>
      </c>
      <c r="U418" s="219" t="str">
        <f>IF(S418="","",'Loan Terms'!$H$14)</f>
        <v/>
      </c>
      <c r="V418" s="220" t="str">
        <f t="shared" si="53"/>
        <v/>
      </c>
    </row>
    <row r="419" spans="2:22" ht="14.25" customHeight="1" x14ac:dyDescent="0.2">
      <c r="B419" s="126" t="str">
        <f>IF(OR(B418="",B418='Loan Terms'!$H$9*12),"",B418+1)</f>
        <v/>
      </c>
      <c r="C419" s="128" t="str">
        <f>IF(B419="","",IF('Loan Terms'!$H$15="30/360",30,D419-D418))</f>
        <v/>
      </c>
      <c r="D419" s="129" t="str">
        <f t="shared" si="49"/>
        <v/>
      </c>
      <c r="E419" s="129" t="str">
        <f>IF(B419="","",IF(B419&lt;='Loan Terms'!$G$10,"Yes","No"))</f>
        <v/>
      </c>
      <c r="F419" s="101" t="str">
        <f>IF(B419="","",IF('Loan Terms'!$C$13="Fixed",'Loan Terms'!$H$17,V419))</f>
        <v/>
      </c>
      <c r="G419" s="12" t="str">
        <f t="shared" si="50"/>
        <v/>
      </c>
      <c r="H419" s="12" t="str">
        <f>IF(G419="","",IF('Loan Terms'!$C$13="Fixed",(E419="Yes")*J419+(E419="No")*'Loan Terms'!$H$19,PMT(F419/12,'Loan Terms'!$G$11-B419+1,-G419)))</f>
        <v/>
      </c>
      <c r="I419" s="12" t="str">
        <f>IF(B419="","",IF(B419='Loan Terms'!$H$9*12,G419,H419-J419))</f>
        <v/>
      </c>
      <c r="J419" s="130" t="str">
        <f>IF(B419="","",IF('Loan Terms'!$H$15="Actual/365",F419*(C419/365),F419*(C419/360))*G419)</f>
        <v/>
      </c>
      <c r="K419" s="12" t="str">
        <f t="shared" si="47"/>
        <v/>
      </c>
      <c r="L419" s="130" t="str">
        <f t="shared" si="51"/>
        <v/>
      </c>
      <c r="N419" s="14" t="str">
        <f t="shared" si="52"/>
        <v/>
      </c>
      <c r="S419" s="217" t="str">
        <f t="shared" si="48"/>
        <v/>
      </c>
      <c r="T419" s="218" t="str">
        <f t="shared" si="46"/>
        <v/>
      </c>
      <c r="U419" s="219" t="str">
        <f>IF(S419="","",'Loan Terms'!$H$14)</f>
        <v/>
      </c>
      <c r="V419" s="220" t="str">
        <f t="shared" si="53"/>
        <v/>
      </c>
    </row>
    <row r="420" spans="2:22" ht="14.25" customHeight="1" x14ac:dyDescent="0.2">
      <c r="B420" s="126" t="str">
        <f>IF(OR(B419="",B419='Loan Terms'!$H$9*12),"",B419+1)</f>
        <v/>
      </c>
      <c r="C420" s="128" t="str">
        <f>IF(B420="","",IF('Loan Terms'!$H$15="30/360",30,D420-D419))</f>
        <v/>
      </c>
      <c r="D420" s="129" t="str">
        <f t="shared" si="49"/>
        <v/>
      </c>
      <c r="E420" s="129" t="str">
        <f>IF(B420="","",IF(B420&lt;='Loan Terms'!$G$10,"Yes","No"))</f>
        <v/>
      </c>
      <c r="F420" s="101" t="str">
        <f>IF(B420="","",IF('Loan Terms'!$C$13="Fixed",'Loan Terms'!$H$17,V420))</f>
        <v/>
      </c>
      <c r="G420" s="12" t="str">
        <f t="shared" si="50"/>
        <v/>
      </c>
      <c r="H420" s="12" t="str">
        <f>IF(G420="","",IF('Loan Terms'!$C$13="Fixed",(E420="Yes")*J420+(E420="No")*'Loan Terms'!$H$19,PMT(F420/12,'Loan Terms'!$G$11-B420+1,-G420)))</f>
        <v/>
      </c>
      <c r="I420" s="12" t="str">
        <f>IF(B420="","",IF(B420='Loan Terms'!$H$9*12,G420,H420-J420))</f>
        <v/>
      </c>
      <c r="J420" s="130" t="str">
        <f>IF(B420="","",IF('Loan Terms'!$H$15="Actual/365",F420*(C420/365),F420*(C420/360))*G420)</f>
        <v/>
      </c>
      <c r="K420" s="12" t="str">
        <f t="shared" si="47"/>
        <v/>
      </c>
      <c r="L420" s="130" t="str">
        <f t="shared" si="51"/>
        <v/>
      </c>
      <c r="N420" s="14" t="str">
        <f t="shared" si="52"/>
        <v/>
      </c>
      <c r="S420" s="217" t="str">
        <f t="shared" si="48"/>
        <v/>
      </c>
      <c r="T420" s="218" t="str">
        <f t="shared" si="46"/>
        <v/>
      </c>
      <c r="U420" s="219" t="str">
        <f>IF(S420="","",'Loan Terms'!$H$14)</f>
        <v/>
      </c>
      <c r="V420" s="220" t="str">
        <f t="shared" si="53"/>
        <v/>
      </c>
    </row>
    <row r="421" spans="2:22" ht="14.25" customHeight="1" x14ac:dyDescent="0.2">
      <c r="B421" s="126" t="str">
        <f>IF(OR(B420="",B420='Loan Terms'!$H$9*12),"",B420+1)</f>
        <v/>
      </c>
      <c r="C421" s="128" t="str">
        <f>IF(B421="","",IF('Loan Terms'!$H$15="30/360",30,D421-D420))</f>
        <v/>
      </c>
      <c r="D421" s="129" t="str">
        <f t="shared" si="49"/>
        <v/>
      </c>
      <c r="E421" s="129" t="str">
        <f>IF(B421="","",IF(B421&lt;='Loan Terms'!$G$10,"Yes","No"))</f>
        <v/>
      </c>
      <c r="F421" s="101" t="str">
        <f>IF(B421="","",IF('Loan Terms'!$C$13="Fixed",'Loan Terms'!$H$17,V421))</f>
        <v/>
      </c>
      <c r="G421" s="12" t="str">
        <f t="shared" si="50"/>
        <v/>
      </c>
      <c r="H421" s="12" t="str">
        <f>IF(G421="","",IF('Loan Terms'!$C$13="Fixed",(E421="Yes")*J421+(E421="No")*'Loan Terms'!$H$19,PMT(F421/12,'Loan Terms'!$G$11-B421+1,-G421)))</f>
        <v/>
      </c>
      <c r="I421" s="12" t="str">
        <f>IF(B421="","",IF(B421='Loan Terms'!$H$9*12,G421,H421-J421))</f>
        <v/>
      </c>
      <c r="J421" s="130" t="str">
        <f>IF(B421="","",IF('Loan Terms'!$H$15="Actual/365",F421*(C421/365),F421*(C421/360))*G421)</f>
        <v/>
      </c>
      <c r="K421" s="12" t="str">
        <f t="shared" si="47"/>
        <v/>
      </c>
      <c r="L421" s="130" t="str">
        <f t="shared" si="51"/>
        <v/>
      </c>
      <c r="N421" s="14" t="str">
        <f t="shared" si="52"/>
        <v/>
      </c>
      <c r="S421" s="217" t="str">
        <f t="shared" si="48"/>
        <v/>
      </c>
      <c r="T421" s="218" t="str">
        <f t="shared" si="46"/>
        <v/>
      </c>
      <c r="U421" s="219" t="str">
        <f>IF(S421="","",'Loan Terms'!$H$14)</f>
        <v/>
      </c>
      <c r="V421" s="220" t="str">
        <f t="shared" si="53"/>
        <v/>
      </c>
    </row>
    <row r="422" spans="2:22" ht="14.25" customHeight="1" x14ac:dyDescent="0.2">
      <c r="B422" s="126" t="str">
        <f>IF(OR(B421="",B421='Loan Terms'!$H$9*12),"",B421+1)</f>
        <v/>
      </c>
      <c r="C422" s="128" t="str">
        <f>IF(B422="","",IF('Loan Terms'!$H$15="30/360",30,D422-D421))</f>
        <v/>
      </c>
      <c r="D422" s="129" t="str">
        <f t="shared" si="49"/>
        <v/>
      </c>
      <c r="E422" s="129" t="str">
        <f>IF(B422="","",IF(B422&lt;='Loan Terms'!$G$10,"Yes","No"))</f>
        <v/>
      </c>
      <c r="F422" s="101" t="str">
        <f>IF(B422="","",IF('Loan Terms'!$C$13="Fixed",'Loan Terms'!$H$17,V422))</f>
        <v/>
      </c>
      <c r="G422" s="12" t="str">
        <f t="shared" si="50"/>
        <v/>
      </c>
      <c r="H422" s="12" t="str">
        <f>IF(G422="","",IF('Loan Terms'!$C$13="Fixed",(E422="Yes")*J422+(E422="No")*'Loan Terms'!$H$19,PMT(F422/12,'Loan Terms'!$G$11-B422+1,-G422)))</f>
        <v/>
      </c>
      <c r="I422" s="12" t="str">
        <f>IF(B422="","",IF(B422='Loan Terms'!$H$9*12,G422,H422-J422))</f>
        <v/>
      </c>
      <c r="J422" s="130" t="str">
        <f>IF(B422="","",IF('Loan Terms'!$H$15="Actual/365",F422*(C422/365),F422*(C422/360))*G422)</f>
        <v/>
      </c>
      <c r="K422" s="12" t="str">
        <f t="shared" si="47"/>
        <v/>
      </c>
      <c r="L422" s="130" t="str">
        <f t="shared" si="51"/>
        <v/>
      </c>
      <c r="N422" s="14" t="str">
        <f t="shared" si="52"/>
        <v/>
      </c>
      <c r="S422" s="217" t="str">
        <f t="shared" si="48"/>
        <v/>
      </c>
      <c r="T422" s="218" t="str">
        <f t="shared" si="46"/>
        <v/>
      </c>
      <c r="U422" s="219" t="str">
        <f>IF(S422="","",'Loan Terms'!$H$14)</f>
        <v/>
      </c>
      <c r="V422" s="220" t="str">
        <f t="shared" si="53"/>
        <v/>
      </c>
    </row>
    <row r="423" spans="2:22" ht="14.25" customHeight="1" x14ac:dyDescent="0.2">
      <c r="B423" s="126" t="str">
        <f>IF(OR(B422="",B422='Loan Terms'!$H$9*12),"",B422+1)</f>
        <v/>
      </c>
      <c r="C423" s="128" t="str">
        <f>IF(B423="","",IF('Loan Terms'!$H$15="30/360",30,D423-D422))</f>
        <v/>
      </c>
      <c r="D423" s="129" t="str">
        <f t="shared" si="49"/>
        <v/>
      </c>
      <c r="E423" s="129" t="str">
        <f>IF(B423="","",IF(B423&lt;='Loan Terms'!$G$10,"Yes","No"))</f>
        <v/>
      </c>
      <c r="F423" s="101" t="str">
        <f>IF(B423="","",IF('Loan Terms'!$C$13="Fixed",'Loan Terms'!$H$17,V423))</f>
        <v/>
      </c>
      <c r="G423" s="12" t="str">
        <f t="shared" si="50"/>
        <v/>
      </c>
      <c r="H423" s="12" t="str">
        <f>IF(G423="","",IF('Loan Terms'!$C$13="Fixed",(E423="Yes")*J423+(E423="No")*'Loan Terms'!$H$19,PMT(F423/12,'Loan Terms'!$G$11-B423+1,-G423)))</f>
        <v/>
      </c>
      <c r="I423" s="12" t="str">
        <f>IF(B423="","",IF(B423='Loan Terms'!$H$9*12,G423,H423-J423))</f>
        <v/>
      </c>
      <c r="J423" s="130" t="str">
        <f>IF(B423="","",IF('Loan Terms'!$H$15="Actual/365",F423*(C423/365),F423*(C423/360))*G423)</f>
        <v/>
      </c>
      <c r="K423" s="12" t="str">
        <f t="shared" si="47"/>
        <v/>
      </c>
      <c r="L423" s="130" t="str">
        <f t="shared" si="51"/>
        <v/>
      </c>
      <c r="N423" s="14" t="str">
        <f t="shared" si="52"/>
        <v/>
      </c>
      <c r="S423" s="217" t="str">
        <f t="shared" si="48"/>
        <v/>
      </c>
      <c r="T423" s="218" t="str">
        <f t="shared" si="46"/>
        <v/>
      </c>
      <c r="U423" s="219" t="str">
        <f>IF(S423="","",'Loan Terms'!$H$14)</f>
        <v/>
      </c>
      <c r="V423" s="220" t="str">
        <f t="shared" si="53"/>
        <v/>
      </c>
    </row>
    <row r="424" spans="2:22" ht="14.25" customHeight="1" x14ac:dyDescent="0.2">
      <c r="B424" s="126" t="str">
        <f>IF(OR(B423="",B423='Loan Terms'!$H$9*12),"",B423+1)</f>
        <v/>
      </c>
      <c r="C424" s="128" t="str">
        <f>IF(B424="","",IF('Loan Terms'!$H$15="30/360",30,D424-D423))</f>
        <v/>
      </c>
      <c r="D424" s="129" t="str">
        <f t="shared" si="49"/>
        <v/>
      </c>
      <c r="E424" s="129" t="str">
        <f>IF(B424="","",IF(B424&lt;='Loan Terms'!$G$10,"Yes","No"))</f>
        <v/>
      </c>
      <c r="F424" s="101" t="str">
        <f>IF(B424="","",IF('Loan Terms'!$C$13="Fixed",'Loan Terms'!$H$17,V424))</f>
        <v/>
      </c>
      <c r="G424" s="12" t="str">
        <f t="shared" si="50"/>
        <v/>
      </c>
      <c r="H424" s="12" t="str">
        <f>IF(G424="","",IF('Loan Terms'!$C$13="Fixed",(E424="Yes")*J424+(E424="No")*'Loan Terms'!$H$19,PMT(F424/12,'Loan Terms'!$G$11-B424+1,-G424)))</f>
        <v/>
      </c>
      <c r="I424" s="12" t="str">
        <f>IF(B424="","",IF(B424='Loan Terms'!$H$9*12,G424,H424-J424))</f>
        <v/>
      </c>
      <c r="J424" s="130" t="str">
        <f>IF(B424="","",IF('Loan Terms'!$H$15="Actual/365",F424*(C424/365),F424*(C424/360))*G424)</f>
        <v/>
      </c>
      <c r="K424" s="12" t="str">
        <f t="shared" si="47"/>
        <v/>
      </c>
      <c r="L424" s="130" t="str">
        <f t="shared" si="51"/>
        <v/>
      </c>
      <c r="N424" s="14" t="str">
        <f t="shared" si="52"/>
        <v/>
      </c>
      <c r="S424" s="217" t="str">
        <f t="shared" si="48"/>
        <v/>
      </c>
      <c r="T424" s="218" t="str">
        <f t="shared" si="46"/>
        <v/>
      </c>
      <c r="U424" s="219" t="str">
        <f>IF(S424="","",'Loan Terms'!$H$14)</f>
        <v/>
      </c>
      <c r="V424" s="220" t="str">
        <f t="shared" si="53"/>
        <v/>
      </c>
    </row>
    <row r="425" spans="2:22" ht="14.25" customHeight="1" x14ac:dyDescent="0.2">
      <c r="B425" s="126" t="str">
        <f>IF(OR(B424="",B424='Loan Terms'!$H$9*12),"",B424+1)</f>
        <v/>
      </c>
      <c r="C425" s="128" t="str">
        <f>IF(B425="","",IF('Loan Terms'!$H$15="30/360",30,D425-D424))</f>
        <v/>
      </c>
      <c r="D425" s="129" t="str">
        <f t="shared" si="49"/>
        <v/>
      </c>
      <c r="E425" s="129" t="str">
        <f>IF(B425="","",IF(B425&lt;='Loan Terms'!$G$10,"Yes","No"))</f>
        <v/>
      </c>
      <c r="F425" s="101" t="str">
        <f>IF(B425="","",IF('Loan Terms'!$C$13="Fixed",'Loan Terms'!$H$17,V425))</f>
        <v/>
      </c>
      <c r="G425" s="12" t="str">
        <f t="shared" si="50"/>
        <v/>
      </c>
      <c r="H425" s="12" t="str">
        <f>IF(G425="","",IF('Loan Terms'!$C$13="Fixed",(E425="Yes")*J425+(E425="No")*'Loan Terms'!$H$19,PMT(F425/12,'Loan Terms'!$G$11-B425+1,-G425)))</f>
        <v/>
      </c>
      <c r="I425" s="12" t="str">
        <f>IF(B425="","",IF(B425='Loan Terms'!$H$9*12,G425,H425-J425))</f>
        <v/>
      </c>
      <c r="J425" s="130" t="str">
        <f>IF(B425="","",IF('Loan Terms'!$H$15="Actual/365",F425*(C425/365),F425*(C425/360))*G425)</f>
        <v/>
      </c>
      <c r="K425" s="12" t="str">
        <f t="shared" si="47"/>
        <v/>
      </c>
      <c r="L425" s="130" t="str">
        <f t="shared" si="51"/>
        <v/>
      </c>
      <c r="N425" s="14" t="str">
        <f t="shared" si="52"/>
        <v/>
      </c>
      <c r="S425" s="217" t="str">
        <f t="shared" si="48"/>
        <v/>
      </c>
      <c r="T425" s="218" t="str">
        <f t="shared" si="46"/>
        <v/>
      </c>
      <c r="U425" s="219" t="str">
        <f>IF(S425="","",'Loan Terms'!$H$14)</f>
        <v/>
      </c>
      <c r="V425" s="220" t="str">
        <f t="shared" si="53"/>
        <v/>
      </c>
    </row>
    <row r="426" spans="2:22" ht="14.25" customHeight="1" x14ac:dyDescent="0.2">
      <c r="B426" s="126" t="str">
        <f>IF(OR(B425="",B425='Loan Terms'!$H$9*12),"",B425+1)</f>
        <v/>
      </c>
      <c r="C426" s="128" t="str">
        <f>IF(B426="","",IF('Loan Terms'!$H$15="30/360",30,D426-D425))</f>
        <v/>
      </c>
      <c r="D426" s="129" t="str">
        <f t="shared" si="49"/>
        <v/>
      </c>
      <c r="E426" s="129" t="str">
        <f>IF(B426="","",IF(B426&lt;='Loan Terms'!$G$10,"Yes","No"))</f>
        <v/>
      </c>
      <c r="F426" s="101" t="str">
        <f>IF(B426="","",IF('Loan Terms'!$C$13="Fixed",'Loan Terms'!$H$17,V426))</f>
        <v/>
      </c>
      <c r="G426" s="12" t="str">
        <f t="shared" si="50"/>
        <v/>
      </c>
      <c r="H426" s="12" t="str">
        <f>IF(G426="","",IF('Loan Terms'!$C$13="Fixed",(E426="Yes")*J426+(E426="No")*'Loan Terms'!$H$19,PMT(F426/12,'Loan Terms'!$G$11-B426+1,-G426)))</f>
        <v/>
      </c>
      <c r="I426" s="12" t="str">
        <f>IF(B426="","",IF(B426='Loan Terms'!$H$9*12,G426,H426-J426))</f>
        <v/>
      </c>
      <c r="J426" s="130" t="str">
        <f>IF(B426="","",IF('Loan Terms'!$H$15="Actual/365",F426*(C426/365),F426*(C426/360))*G426)</f>
        <v/>
      </c>
      <c r="K426" s="12" t="str">
        <f t="shared" si="47"/>
        <v/>
      </c>
      <c r="L426" s="130" t="str">
        <f t="shared" si="51"/>
        <v/>
      </c>
      <c r="N426" s="14" t="str">
        <f t="shared" si="52"/>
        <v/>
      </c>
      <c r="S426" s="217" t="str">
        <f t="shared" si="48"/>
        <v/>
      </c>
      <c r="T426" s="218" t="str">
        <f t="shared" si="46"/>
        <v/>
      </c>
      <c r="U426" s="219" t="str">
        <f>IF(S426="","",'Loan Terms'!$H$14)</f>
        <v/>
      </c>
      <c r="V426" s="220" t="str">
        <f t="shared" si="53"/>
        <v/>
      </c>
    </row>
    <row r="427" spans="2:22" ht="14.25" customHeight="1" x14ac:dyDescent="0.2">
      <c r="B427" s="126" t="str">
        <f>IF(OR(B426="",B426='Loan Terms'!$H$9*12),"",B426+1)</f>
        <v/>
      </c>
      <c r="C427" s="128" t="str">
        <f>IF(B427="","",IF('Loan Terms'!$H$15="30/360",30,D427-D426))</f>
        <v/>
      </c>
      <c r="D427" s="129" t="str">
        <f t="shared" si="49"/>
        <v/>
      </c>
      <c r="E427" s="129" t="str">
        <f>IF(B427="","",IF(B427&lt;='Loan Terms'!$G$10,"Yes","No"))</f>
        <v/>
      </c>
      <c r="F427" s="101" t="str">
        <f>IF(B427="","",IF('Loan Terms'!$C$13="Fixed",'Loan Terms'!$H$17,V427))</f>
        <v/>
      </c>
      <c r="G427" s="12" t="str">
        <f t="shared" si="50"/>
        <v/>
      </c>
      <c r="H427" s="12" t="str">
        <f>IF(G427="","",IF('Loan Terms'!$C$13="Fixed",(E427="Yes")*J427+(E427="No")*'Loan Terms'!$H$19,PMT(F427/12,'Loan Terms'!$G$11-B427+1,-G427)))</f>
        <v/>
      </c>
      <c r="I427" s="12" t="str">
        <f>IF(B427="","",IF(B427='Loan Terms'!$H$9*12,G427,H427-J427))</f>
        <v/>
      </c>
      <c r="J427" s="130" t="str">
        <f>IF(B427="","",IF('Loan Terms'!$H$15="Actual/365",F427*(C427/365),F427*(C427/360))*G427)</f>
        <v/>
      </c>
      <c r="K427" s="12" t="str">
        <f t="shared" si="47"/>
        <v/>
      </c>
      <c r="L427" s="130" t="str">
        <f t="shared" si="51"/>
        <v/>
      </c>
      <c r="N427" s="14" t="str">
        <f t="shared" si="52"/>
        <v/>
      </c>
      <c r="S427" s="217" t="str">
        <f t="shared" si="48"/>
        <v/>
      </c>
      <c r="T427" s="218" t="str">
        <f t="shared" si="46"/>
        <v/>
      </c>
      <c r="U427" s="219" t="str">
        <f>IF(S427="","",'Loan Terms'!$H$14)</f>
        <v/>
      </c>
      <c r="V427" s="220" t="str">
        <f t="shared" si="53"/>
        <v/>
      </c>
    </row>
    <row r="428" spans="2:22" ht="14.25" customHeight="1" x14ac:dyDescent="0.2">
      <c r="B428" s="126" t="str">
        <f>IF(OR(B427="",B427='Loan Terms'!$H$9*12),"",B427+1)</f>
        <v/>
      </c>
      <c r="C428" s="128" t="str">
        <f>IF(B428="","",IF('Loan Terms'!$H$15="30/360",30,D428-D427))</f>
        <v/>
      </c>
      <c r="D428" s="129" t="str">
        <f t="shared" si="49"/>
        <v/>
      </c>
      <c r="E428" s="129" t="str">
        <f>IF(B428="","",IF(B428&lt;='Loan Terms'!$G$10,"Yes","No"))</f>
        <v/>
      </c>
      <c r="F428" s="101" t="str">
        <f>IF(B428="","",IF('Loan Terms'!$C$13="Fixed",'Loan Terms'!$H$17,V428))</f>
        <v/>
      </c>
      <c r="G428" s="12" t="str">
        <f t="shared" si="50"/>
        <v/>
      </c>
      <c r="H428" s="12" t="str">
        <f>IF(G428="","",IF('Loan Terms'!$C$13="Fixed",(E428="Yes")*J428+(E428="No")*'Loan Terms'!$H$19,PMT(F428/12,'Loan Terms'!$G$11-B428+1,-G428)))</f>
        <v/>
      </c>
      <c r="I428" s="12" t="str">
        <f>IF(B428="","",IF(B428='Loan Terms'!$H$9*12,G428,H428-J428))</f>
        <v/>
      </c>
      <c r="J428" s="130" t="str">
        <f>IF(B428="","",IF('Loan Terms'!$H$15="Actual/365",F428*(C428/365),F428*(C428/360))*G428)</f>
        <v/>
      </c>
      <c r="K428" s="12" t="str">
        <f t="shared" si="47"/>
        <v/>
      </c>
      <c r="L428" s="130" t="str">
        <f t="shared" si="51"/>
        <v/>
      </c>
      <c r="N428" s="14" t="str">
        <f t="shared" si="52"/>
        <v/>
      </c>
      <c r="S428" s="217" t="str">
        <f t="shared" si="48"/>
        <v/>
      </c>
      <c r="T428" s="218" t="str">
        <f t="shared" si="46"/>
        <v/>
      </c>
      <c r="U428" s="219" t="str">
        <f>IF(S428="","",'Loan Terms'!$H$14)</f>
        <v/>
      </c>
      <c r="V428" s="220" t="str">
        <f t="shared" si="53"/>
        <v/>
      </c>
    </row>
    <row r="429" spans="2:22" ht="14.25" customHeight="1" x14ac:dyDescent="0.2">
      <c r="B429" s="126" t="str">
        <f>IF(OR(B428="",B428='Loan Terms'!$H$9*12),"",B428+1)</f>
        <v/>
      </c>
      <c r="C429" s="128" t="str">
        <f>IF(B429="","",IF('Loan Terms'!$H$15="30/360",30,D429-D428))</f>
        <v/>
      </c>
      <c r="D429" s="129" t="str">
        <f t="shared" si="49"/>
        <v/>
      </c>
      <c r="E429" s="129" t="str">
        <f>IF(B429="","",IF(B429&lt;='Loan Terms'!$G$10,"Yes","No"))</f>
        <v/>
      </c>
      <c r="F429" s="101" t="str">
        <f>IF(B429="","",IF('Loan Terms'!$C$13="Fixed",'Loan Terms'!$H$17,V429))</f>
        <v/>
      </c>
      <c r="G429" s="12" t="str">
        <f t="shared" si="50"/>
        <v/>
      </c>
      <c r="H429" s="12" t="str">
        <f>IF(G429="","",IF('Loan Terms'!$C$13="Fixed",(E429="Yes")*J429+(E429="No")*'Loan Terms'!$H$19,PMT(F429/12,'Loan Terms'!$G$11-B429+1,-G429)))</f>
        <v/>
      </c>
      <c r="I429" s="12" t="str">
        <f>IF(B429="","",IF(B429='Loan Terms'!$H$9*12,G429,H429-J429))</f>
        <v/>
      </c>
      <c r="J429" s="130" t="str">
        <f>IF(B429="","",IF('Loan Terms'!$H$15="Actual/365",F429*(C429/365),F429*(C429/360))*G429)</f>
        <v/>
      </c>
      <c r="K429" s="12" t="str">
        <f t="shared" si="47"/>
        <v/>
      </c>
      <c r="L429" s="130" t="str">
        <f t="shared" si="51"/>
        <v/>
      </c>
      <c r="N429" s="14" t="str">
        <f t="shared" si="52"/>
        <v/>
      </c>
      <c r="S429" s="217" t="str">
        <f t="shared" si="48"/>
        <v/>
      </c>
      <c r="T429" s="218" t="str">
        <f t="shared" si="46"/>
        <v/>
      </c>
      <c r="U429" s="219" t="str">
        <f>IF(S429="","",'Loan Terms'!$H$14)</f>
        <v/>
      </c>
      <c r="V429" s="220" t="str">
        <f t="shared" si="53"/>
        <v/>
      </c>
    </row>
    <row r="430" spans="2:22" ht="14.25" customHeight="1" x14ac:dyDescent="0.2">
      <c r="B430" s="126" t="str">
        <f>IF(OR(B429="",B429='Loan Terms'!$H$9*12),"",B429+1)</f>
        <v/>
      </c>
      <c r="C430" s="128" t="str">
        <f>IF(B430="","",IF('Loan Terms'!$H$15="30/360",30,D430-D429))</f>
        <v/>
      </c>
      <c r="D430" s="129" t="str">
        <f t="shared" si="49"/>
        <v/>
      </c>
      <c r="E430" s="129" t="str">
        <f>IF(B430="","",IF(B430&lt;='Loan Terms'!$G$10,"Yes","No"))</f>
        <v/>
      </c>
      <c r="F430" s="101" t="str">
        <f>IF(B430="","",IF('Loan Terms'!$C$13="Fixed",'Loan Terms'!$H$17,V430))</f>
        <v/>
      </c>
      <c r="G430" s="12" t="str">
        <f t="shared" si="50"/>
        <v/>
      </c>
      <c r="H430" s="12" t="str">
        <f>IF(G430="","",IF('Loan Terms'!$C$13="Fixed",(E430="Yes")*J430+(E430="No")*'Loan Terms'!$H$19,PMT(F430/12,'Loan Terms'!$G$11-B430+1,-G430)))</f>
        <v/>
      </c>
      <c r="I430" s="12" t="str">
        <f>IF(B430="","",IF(B430='Loan Terms'!$H$9*12,G430,H430-J430))</f>
        <v/>
      </c>
      <c r="J430" s="130" t="str">
        <f>IF(B430="","",IF('Loan Terms'!$H$15="Actual/365",F430*(C430/365),F430*(C430/360))*G430)</f>
        <v/>
      </c>
      <c r="K430" s="12" t="str">
        <f t="shared" si="47"/>
        <v/>
      </c>
      <c r="L430" s="130" t="str">
        <f t="shared" si="51"/>
        <v/>
      </c>
      <c r="N430" s="14" t="str">
        <f t="shared" si="52"/>
        <v/>
      </c>
      <c r="S430" s="217" t="str">
        <f t="shared" si="48"/>
        <v/>
      </c>
      <c r="T430" s="218" t="str">
        <f t="shared" si="46"/>
        <v/>
      </c>
      <c r="U430" s="219" t="str">
        <f>IF(S430="","",'Loan Terms'!$H$14)</f>
        <v/>
      </c>
      <c r="V430" s="220" t="str">
        <f t="shared" si="53"/>
        <v/>
      </c>
    </row>
    <row r="431" spans="2:22" ht="14.25" customHeight="1" x14ac:dyDescent="0.2">
      <c r="B431" s="126" t="str">
        <f>IF(OR(B430="",B430='Loan Terms'!$H$9*12),"",B430+1)</f>
        <v/>
      </c>
      <c r="C431" s="128" t="str">
        <f>IF(B431="","",IF('Loan Terms'!$H$15="30/360",30,D431-D430))</f>
        <v/>
      </c>
      <c r="D431" s="129" t="str">
        <f t="shared" si="49"/>
        <v/>
      </c>
      <c r="E431" s="129" t="str">
        <f>IF(B431="","",IF(B431&lt;='Loan Terms'!$G$10,"Yes","No"))</f>
        <v/>
      </c>
      <c r="F431" s="101" t="str">
        <f>IF(B431="","",IF('Loan Terms'!$C$13="Fixed",'Loan Terms'!$H$17,V431))</f>
        <v/>
      </c>
      <c r="G431" s="12" t="str">
        <f t="shared" si="50"/>
        <v/>
      </c>
      <c r="H431" s="12" t="str">
        <f>IF(G431="","",IF('Loan Terms'!$C$13="Fixed",(E431="Yes")*J431+(E431="No")*'Loan Terms'!$H$19,PMT(F431/12,'Loan Terms'!$G$11-B431+1,-G431)))</f>
        <v/>
      </c>
      <c r="I431" s="12" t="str">
        <f>IF(B431="","",IF(B431='Loan Terms'!$H$9*12,G431,H431-J431))</f>
        <v/>
      </c>
      <c r="J431" s="130" t="str">
        <f>IF(B431="","",IF('Loan Terms'!$H$15="Actual/365",F431*(C431/365),F431*(C431/360))*G431)</f>
        <v/>
      </c>
      <c r="K431" s="12" t="str">
        <f t="shared" si="47"/>
        <v/>
      </c>
      <c r="L431" s="130" t="str">
        <f t="shared" si="51"/>
        <v/>
      </c>
      <c r="N431" s="14" t="str">
        <f t="shared" si="52"/>
        <v/>
      </c>
      <c r="S431" s="217" t="str">
        <f t="shared" si="48"/>
        <v/>
      </c>
      <c r="T431" s="218" t="str">
        <f t="shared" si="46"/>
        <v/>
      </c>
      <c r="U431" s="219" t="str">
        <f>IF(S431="","",'Loan Terms'!$H$14)</f>
        <v/>
      </c>
      <c r="V431" s="220" t="str">
        <f t="shared" si="53"/>
        <v/>
      </c>
    </row>
    <row r="432" spans="2:22" ht="14.25" customHeight="1" x14ac:dyDescent="0.2">
      <c r="B432" s="126" t="str">
        <f>IF(OR(B431="",B431='Loan Terms'!$H$9*12),"",B431+1)</f>
        <v/>
      </c>
      <c r="C432" s="128" t="str">
        <f>IF(B432="","",IF('Loan Terms'!$H$15="30/360",30,D432-D431))</f>
        <v/>
      </c>
      <c r="D432" s="129" t="str">
        <f t="shared" si="49"/>
        <v/>
      </c>
      <c r="E432" s="129" t="str">
        <f>IF(B432="","",IF(B432&lt;='Loan Terms'!$G$10,"Yes","No"))</f>
        <v/>
      </c>
      <c r="F432" s="101" t="str">
        <f>IF(B432="","",IF('Loan Terms'!$C$13="Fixed",'Loan Terms'!$H$17,V432))</f>
        <v/>
      </c>
      <c r="G432" s="12" t="str">
        <f t="shared" si="50"/>
        <v/>
      </c>
      <c r="H432" s="12" t="str">
        <f>IF(G432="","",IF('Loan Terms'!$C$13="Fixed",(E432="Yes")*J432+(E432="No")*'Loan Terms'!$H$19,PMT(F432/12,'Loan Terms'!$G$11-B432+1,-G432)))</f>
        <v/>
      </c>
      <c r="I432" s="12" t="str">
        <f>IF(B432="","",IF(B432='Loan Terms'!$H$9*12,G432,H432-J432))</f>
        <v/>
      </c>
      <c r="J432" s="130" t="str">
        <f>IF(B432="","",IF('Loan Terms'!$H$15="Actual/365",F432*(C432/365),F432*(C432/360))*G432)</f>
        <v/>
      </c>
      <c r="K432" s="12" t="str">
        <f t="shared" si="47"/>
        <v/>
      </c>
      <c r="L432" s="130" t="str">
        <f t="shared" si="51"/>
        <v/>
      </c>
      <c r="N432" s="14" t="str">
        <f t="shared" si="52"/>
        <v/>
      </c>
      <c r="S432" s="217" t="str">
        <f t="shared" si="48"/>
        <v/>
      </c>
      <c r="T432" s="218" t="str">
        <f t="shared" si="46"/>
        <v/>
      </c>
      <c r="U432" s="219" t="str">
        <f>IF(S432="","",'Loan Terms'!$H$14)</f>
        <v/>
      </c>
      <c r="V432" s="220" t="str">
        <f t="shared" si="53"/>
        <v/>
      </c>
    </row>
    <row r="433" spans="2:22" ht="14.25" customHeight="1" x14ac:dyDescent="0.2">
      <c r="B433" s="126" t="str">
        <f>IF(OR(B432="",B432='Loan Terms'!$H$9*12),"",B432+1)</f>
        <v/>
      </c>
      <c r="C433" s="128" t="str">
        <f>IF(B433="","",IF('Loan Terms'!$H$15="30/360",30,D433-D432))</f>
        <v/>
      </c>
      <c r="D433" s="129" t="str">
        <f t="shared" si="49"/>
        <v/>
      </c>
      <c r="E433" s="129" t="str">
        <f>IF(B433="","",IF(B433&lt;='Loan Terms'!$G$10,"Yes","No"))</f>
        <v/>
      </c>
      <c r="F433" s="101" t="str">
        <f>IF(B433="","",IF('Loan Terms'!$C$13="Fixed",'Loan Terms'!$H$17,V433))</f>
        <v/>
      </c>
      <c r="G433" s="12" t="str">
        <f t="shared" si="50"/>
        <v/>
      </c>
      <c r="H433" s="12" t="str">
        <f>IF(G433="","",IF('Loan Terms'!$C$13="Fixed",(E433="Yes")*J433+(E433="No")*'Loan Terms'!$H$19,PMT(F433/12,'Loan Terms'!$G$11-B433+1,-G433)))</f>
        <v/>
      </c>
      <c r="I433" s="12" t="str">
        <f>IF(B433="","",IF(B433='Loan Terms'!$H$9*12,G433,H433-J433))</f>
        <v/>
      </c>
      <c r="J433" s="130" t="str">
        <f>IF(B433="","",IF('Loan Terms'!$H$15="Actual/365",F433*(C433/365),F433*(C433/360))*G433)</f>
        <v/>
      </c>
      <c r="K433" s="12" t="str">
        <f t="shared" si="47"/>
        <v/>
      </c>
      <c r="L433" s="130" t="str">
        <f t="shared" si="51"/>
        <v/>
      </c>
      <c r="N433" s="14" t="str">
        <f t="shared" si="52"/>
        <v/>
      </c>
      <c r="S433" s="217" t="str">
        <f t="shared" si="48"/>
        <v/>
      </c>
      <c r="T433" s="218" t="str">
        <f t="shared" si="46"/>
        <v/>
      </c>
      <c r="U433" s="219" t="str">
        <f>IF(S433="","",'Loan Terms'!$H$14)</f>
        <v/>
      </c>
      <c r="V433" s="220" t="str">
        <f t="shared" si="53"/>
        <v/>
      </c>
    </row>
    <row r="434" spans="2:22" ht="14.25" customHeight="1" x14ac:dyDescent="0.2">
      <c r="B434" s="126" t="str">
        <f>IF(OR(B433="",B433='Loan Terms'!$H$9*12),"",B433+1)</f>
        <v/>
      </c>
      <c r="C434" s="128" t="str">
        <f>IF(B434="","",IF('Loan Terms'!$H$15="30/360",30,D434-D433))</f>
        <v/>
      </c>
      <c r="D434" s="129" t="str">
        <f t="shared" si="49"/>
        <v/>
      </c>
      <c r="E434" s="129" t="str">
        <f>IF(B434="","",IF(B434&lt;='Loan Terms'!$G$10,"Yes","No"))</f>
        <v/>
      </c>
      <c r="F434" s="101" t="str">
        <f>IF(B434="","",IF('Loan Terms'!$C$13="Fixed",'Loan Terms'!$H$17,V434))</f>
        <v/>
      </c>
      <c r="G434" s="12" t="str">
        <f t="shared" si="50"/>
        <v/>
      </c>
      <c r="H434" s="12" t="str">
        <f>IF(G434="","",IF('Loan Terms'!$C$13="Fixed",(E434="Yes")*J434+(E434="No")*'Loan Terms'!$H$19,PMT(F434/12,'Loan Terms'!$G$11-B434+1,-G434)))</f>
        <v/>
      </c>
      <c r="I434" s="12" t="str">
        <f>IF(B434="","",IF(B434='Loan Terms'!$H$9*12,G434,H434-J434))</f>
        <v/>
      </c>
      <c r="J434" s="130" t="str">
        <f>IF(B434="","",IF('Loan Terms'!$H$15="Actual/365",F434*(C434/365),F434*(C434/360))*G434)</f>
        <v/>
      </c>
      <c r="K434" s="12" t="str">
        <f t="shared" si="47"/>
        <v/>
      </c>
      <c r="L434" s="130" t="str">
        <f t="shared" si="51"/>
        <v/>
      </c>
      <c r="N434" s="14" t="str">
        <f t="shared" si="52"/>
        <v/>
      </c>
      <c r="S434" s="217" t="str">
        <f t="shared" si="48"/>
        <v/>
      </c>
      <c r="T434" s="218" t="str">
        <f t="shared" si="46"/>
        <v/>
      </c>
      <c r="U434" s="219" t="str">
        <f>IF(S434="","",'Loan Terms'!$H$14)</f>
        <v/>
      </c>
      <c r="V434" s="220" t="str">
        <f t="shared" si="53"/>
        <v/>
      </c>
    </row>
    <row r="435" spans="2:22" ht="14.25" customHeight="1" x14ac:dyDescent="0.2">
      <c r="B435" s="126" t="str">
        <f>IF(OR(B434="",B434='Loan Terms'!$H$9*12),"",B434+1)</f>
        <v/>
      </c>
      <c r="C435" s="128" t="str">
        <f>IF(B435="","",IF('Loan Terms'!$H$15="30/360",30,D435-D434))</f>
        <v/>
      </c>
      <c r="D435" s="129" t="str">
        <f t="shared" si="49"/>
        <v/>
      </c>
      <c r="E435" s="129" t="str">
        <f>IF(B435="","",IF(B435&lt;='Loan Terms'!$G$10,"Yes","No"))</f>
        <v/>
      </c>
      <c r="F435" s="101" t="str">
        <f>IF(B435="","",IF('Loan Terms'!$C$13="Fixed",'Loan Terms'!$H$17,V435))</f>
        <v/>
      </c>
      <c r="G435" s="12" t="str">
        <f t="shared" si="50"/>
        <v/>
      </c>
      <c r="H435" s="12" t="str">
        <f>IF(G435="","",IF('Loan Terms'!$C$13="Fixed",(E435="Yes")*J435+(E435="No")*'Loan Terms'!$H$19,PMT(F435/12,'Loan Terms'!$G$11-B435+1,-G435)))</f>
        <v/>
      </c>
      <c r="I435" s="12" t="str">
        <f>IF(B435="","",IF(B435='Loan Terms'!$H$9*12,G435,H435-J435))</f>
        <v/>
      </c>
      <c r="J435" s="130" t="str">
        <f>IF(B435="","",IF('Loan Terms'!$H$15="Actual/365",F435*(C435/365),F435*(C435/360))*G435)</f>
        <v/>
      </c>
      <c r="K435" s="12" t="str">
        <f t="shared" si="47"/>
        <v/>
      </c>
      <c r="L435" s="130" t="str">
        <f t="shared" si="51"/>
        <v/>
      </c>
      <c r="N435" s="14" t="str">
        <f t="shared" si="52"/>
        <v/>
      </c>
      <c r="S435" s="217" t="str">
        <f t="shared" si="48"/>
        <v/>
      </c>
      <c r="T435" s="218" t="str">
        <f t="shared" si="46"/>
        <v/>
      </c>
      <c r="U435" s="219" t="str">
        <f>IF(S435="","",'Loan Terms'!$H$14)</f>
        <v/>
      </c>
      <c r="V435" s="220" t="str">
        <f t="shared" si="53"/>
        <v/>
      </c>
    </row>
    <row r="436" spans="2:22" ht="14.25" customHeight="1" x14ac:dyDescent="0.2">
      <c r="B436" s="126" t="str">
        <f>IF(OR(B435="",B435='Loan Terms'!$H$9*12),"",B435+1)</f>
        <v/>
      </c>
      <c r="C436" s="128" t="str">
        <f>IF(B436="","",IF('Loan Terms'!$H$15="30/360",30,D436-D435))</f>
        <v/>
      </c>
      <c r="D436" s="129" t="str">
        <f t="shared" si="49"/>
        <v/>
      </c>
      <c r="E436" s="129" t="str">
        <f>IF(B436="","",IF(B436&lt;='Loan Terms'!$G$10,"Yes","No"))</f>
        <v/>
      </c>
      <c r="F436" s="101" t="str">
        <f>IF(B436="","",IF('Loan Terms'!$C$13="Fixed",'Loan Terms'!$H$17,V436))</f>
        <v/>
      </c>
      <c r="G436" s="12" t="str">
        <f t="shared" si="50"/>
        <v/>
      </c>
      <c r="H436" s="12" t="str">
        <f>IF(G436="","",IF('Loan Terms'!$C$13="Fixed",(E436="Yes")*J436+(E436="No")*'Loan Terms'!$H$19,PMT(F436/12,'Loan Terms'!$G$11-B436+1,-G436)))</f>
        <v/>
      </c>
      <c r="I436" s="12" t="str">
        <f>IF(B436="","",IF(B436='Loan Terms'!$H$9*12,G436,H436-J436))</f>
        <v/>
      </c>
      <c r="J436" s="130" t="str">
        <f>IF(B436="","",IF('Loan Terms'!$H$15="Actual/365",F436*(C436/365),F436*(C436/360))*G436)</f>
        <v/>
      </c>
      <c r="K436" s="12" t="str">
        <f t="shared" si="47"/>
        <v/>
      </c>
      <c r="L436" s="130" t="str">
        <f t="shared" si="51"/>
        <v/>
      </c>
      <c r="N436" s="14" t="str">
        <f t="shared" si="52"/>
        <v/>
      </c>
      <c r="S436" s="217" t="str">
        <f t="shared" si="48"/>
        <v/>
      </c>
      <c r="T436" s="218" t="str">
        <f t="shared" si="46"/>
        <v/>
      </c>
      <c r="U436" s="219" t="str">
        <f>IF(S436="","",'Loan Terms'!$H$14)</f>
        <v/>
      </c>
      <c r="V436" s="220" t="str">
        <f t="shared" si="53"/>
        <v/>
      </c>
    </row>
    <row r="437" spans="2:22" ht="14.25" customHeight="1" x14ac:dyDescent="0.2">
      <c r="B437" s="126" t="str">
        <f>IF(OR(B436="",B436='Loan Terms'!$H$9*12),"",B436+1)</f>
        <v/>
      </c>
      <c r="C437" s="128" t="str">
        <f>IF(B437="","",IF('Loan Terms'!$H$15="30/360",30,D437-D436))</f>
        <v/>
      </c>
      <c r="D437" s="129" t="str">
        <f t="shared" si="49"/>
        <v/>
      </c>
      <c r="E437" s="129" t="str">
        <f>IF(B437="","",IF(B437&lt;='Loan Terms'!$G$10,"Yes","No"))</f>
        <v/>
      </c>
      <c r="F437" s="101" t="str">
        <f>IF(B437="","",IF('Loan Terms'!$C$13="Fixed",'Loan Terms'!$H$17,V437))</f>
        <v/>
      </c>
      <c r="G437" s="12" t="str">
        <f t="shared" si="50"/>
        <v/>
      </c>
      <c r="H437" s="12" t="str">
        <f>IF(G437="","",IF('Loan Terms'!$C$13="Fixed",(E437="Yes")*J437+(E437="No")*'Loan Terms'!$H$19,PMT(F437/12,'Loan Terms'!$G$11-B437+1,-G437)))</f>
        <v/>
      </c>
      <c r="I437" s="12" t="str">
        <f>IF(B437="","",IF(B437='Loan Terms'!$H$9*12,G437,H437-J437))</f>
        <v/>
      </c>
      <c r="J437" s="130" t="str">
        <f>IF(B437="","",IF('Loan Terms'!$H$15="Actual/365",F437*(C437/365),F437*(C437/360))*G437)</f>
        <v/>
      </c>
      <c r="K437" s="12" t="str">
        <f t="shared" si="47"/>
        <v/>
      </c>
      <c r="L437" s="130" t="str">
        <f t="shared" si="51"/>
        <v/>
      </c>
      <c r="N437" s="14" t="str">
        <f t="shared" si="52"/>
        <v/>
      </c>
      <c r="S437" s="217" t="str">
        <f t="shared" si="48"/>
        <v/>
      </c>
      <c r="T437" s="218" t="str">
        <f t="shared" si="46"/>
        <v/>
      </c>
      <c r="U437" s="219" t="str">
        <f>IF(S437="","",'Loan Terms'!$H$14)</f>
        <v/>
      </c>
      <c r="V437" s="220" t="str">
        <f t="shared" si="53"/>
        <v/>
      </c>
    </row>
    <row r="438" spans="2:22" ht="14.25" customHeight="1" x14ac:dyDescent="0.2">
      <c r="B438" s="126" t="str">
        <f>IF(OR(B437="",B437='Loan Terms'!$H$9*12),"",B437+1)</f>
        <v/>
      </c>
      <c r="C438" s="128" t="str">
        <f>IF(B438="","",IF('Loan Terms'!$H$15="30/360",30,D438-D437))</f>
        <v/>
      </c>
      <c r="D438" s="129" t="str">
        <f t="shared" si="49"/>
        <v/>
      </c>
      <c r="E438" s="129" t="str">
        <f>IF(B438="","",IF(B438&lt;='Loan Terms'!$G$10,"Yes","No"))</f>
        <v/>
      </c>
      <c r="F438" s="101" t="str">
        <f>IF(B438="","",IF('Loan Terms'!$C$13="Fixed",'Loan Terms'!$H$17,V438))</f>
        <v/>
      </c>
      <c r="G438" s="12" t="str">
        <f t="shared" si="50"/>
        <v/>
      </c>
      <c r="H438" s="12" t="str">
        <f>IF(G438="","",IF('Loan Terms'!$C$13="Fixed",(E438="Yes")*J438+(E438="No")*'Loan Terms'!$H$19,PMT(F438/12,'Loan Terms'!$G$11-B438+1,-G438)))</f>
        <v/>
      </c>
      <c r="I438" s="12" t="str">
        <f>IF(B438="","",IF(B438='Loan Terms'!$H$9*12,G438,H438-J438))</f>
        <v/>
      </c>
      <c r="J438" s="130" t="str">
        <f>IF(B438="","",IF('Loan Terms'!$H$15="Actual/365",F438*(C438/365),F438*(C438/360))*G438)</f>
        <v/>
      </c>
      <c r="K438" s="12" t="str">
        <f t="shared" si="47"/>
        <v/>
      </c>
      <c r="L438" s="130" t="str">
        <f t="shared" si="51"/>
        <v/>
      </c>
      <c r="N438" s="14" t="str">
        <f t="shared" si="52"/>
        <v/>
      </c>
      <c r="S438" s="217" t="str">
        <f t="shared" si="48"/>
        <v/>
      </c>
      <c r="T438" s="218" t="str">
        <f t="shared" si="46"/>
        <v/>
      </c>
      <c r="U438" s="219" t="str">
        <f>IF(S438="","",'Loan Terms'!$H$14)</f>
        <v/>
      </c>
      <c r="V438" s="220" t="str">
        <f t="shared" si="53"/>
        <v/>
      </c>
    </row>
    <row r="439" spans="2:22" ht="14.25" customHeight="1" x14ac:dyDescent="0.2">
      <c r="B439" s="126" t="str">
        <f>IF(OR(B438="",B438='Loan Terms'!$H$9*12),"",B438+1)</f>
        <v/>
      </c>
      <c r="C439" s="128" t="str">
        <f>IF(B439="","",IF('Loan Terms'!$H$15="30/360",30,D439-D438))</f>
        <v/>
      </c>
      <c r="D439" s="129" t="str">
        <f t="shared" si="49"/>
        <v/>
      </c>
      <c r="E439" s="129" t="str">
        <f>IF(B439="","",IF(B439&lt;='Loan Terms'!$G$10,"Yes","No"))</f>
        <v/>
      </c>
      <c r="F439" s="101" t="str">
        <f>IF(B439="","",IF('Loan Terms'!$C$13="Fixed",'Loan Terms'!$H$17,V439))</f>
        <v/>
      </c>
      <c r="G439" s="12" t="str">
        <f t="shared" si="50"/>
        <v/>
      </c>
      <c r="H439" s="12" t="str">
        <f>IF(G439="","",IF('Loan Terms'!$C$13="Fixed",(E439="Yes")*J439+(E439="No")*'Loan Terms'!$H$19,PMT(F439/12,'Loan Terms'!$G$11-B439+1,-G439)))</f>
        <v/>
      </c>
      <c r="I439" s="12" t="str">
        <f>IF(B439="","",IF(B439='Loan Terms'!$H$9*12,G439,H439-J439))</f>
        <v/>
      </c>
      <c r="J439" s="130" t="str">
        <f>IF(B439="","",IF('Loan Terms'!$H$15="Actual/365",F439*(C439/365),F439*(C439/360))*G439)</f>
        <v/>
      </c>
      <c r="K439" s="12" t="str">
        <f t="shared" si="47"/>
        <v/>
      </c>
      <c r="L439" s="130" t="str">
        <f t="shared" si="51"/>
        <v/>
      </c>
      <c r="N439" s="14" t="str">
        <f t="shared" si="52"/>
        <v/>
      </c>
      <c r="S439" s="217" t="str">
        <f t="shared" si="48"/>
        <v/>
      </c>
      <c r="T439" s="218" t="str">
        <f t="shared" si="46"/>
        <v/>
      </c>
      <c r="U439" s="219" t="str">
        <f>IF(S439="","",'Loan Terms'!$H$14)</f>
        <v/>
      </c>
      <c r="V439" s="220" t="str">
        <f t="shared" si="53"/>
        <v/>
      </c>
    </row>
    <row r="440" spans="2:22" ht="14.25" customHeight="1" x14ac:dyDescent="0.2">
      <c r="B440" s="126" t="str">
        <f>IF(OR(B439="",B439='Loan Terms'!$H$9*12),"",B439+1)</f>
        <v/>
      </c>
      <c r="C440" s="128" t="str">
        <f>IF(B440="","",IF('Loan Terms'!$H$15="30/360",30,D440-D439))</f>
        <v/>
      </c>
      <c r="D440" s="129" t="str">
        <f t="shared" si="49"/>
        <v/>
      </c>
      <c r="E440" s="129" t="str">
        <f>IF(B440="","",IF(B440&lt;='Loan Terms'!$G$10,"Yes","No"))</f>
        <v/>
      </c>
      <c r="F440" s="101" t="str">
        <f>IF(B440="","",IF('Loan Terms'!$C$13="Fixed",'Loan Terms'!$H$17,V440))</f>
        <v/>
      </c>
      <c r="G440" s="12" t="str">
        <f t="shared" si="50"/>
        <v/>
      </c>
      <c r="H440" s="12" t="str">
        <f>IF(G440="","",IF('Loan Terms'!$C$13="Fixed",(E440="Yes")*J440+(E440="No")*'Loan Terms'!$H$19,PMT(F440/12,'Loan Terms'!$G$11-B440+1,-G440)))</f>
        <v/>
      </c>
      <c r="I440" s="12" t="str">
        <f>IF(B440="","",IF(B440='Loan Terms'!$H$9*12,G440,H440-J440))</f>
        <v/>
      </c>
      <c r="J440" s="130" t="str">
        <f>IF(B440="","",IF('Loan Terms'!$H$15="Actual/365",F440*(C440/365),F440*(C440/360))*G440)</f>
        <v/>
      </c>
      <c r="K440" s="12" t="str">
        <f t="shared" si="47"/>
        <v/>
      </c>
      <c r="L440" s="130" t="str">
        <f t="shared" si="51"/>
        <v/>
      </c>
      <c r="N440" s="14" t="str">
        <f t="shared" si="52"/>
        <v/>
      </c>
      <c r="S440" s="217" t="str">
        <f t="shared" si="48"/>
        <v/>
      </c>
      <c r="T440" s="218" t="str">
        <f t="shared" si="46"/>
        <v/>
      </c>
      <c r="U440" s="219" t="str">
        <f>IF(S440="","",'Loan Terms'!$H$14)</f>
        <v/>
      </c>
      <c r="V440" s="220" t="str">
        <f t="shared" si="53"/>
        <v/>
      </c>
    </row>
    <row r="441" spans="2:22" ht="14.25" customHeight="1" x14ac:dyDescent="0.2">
      <c r="B441" s="126" t="str">
        <f>IF(OR(B440="",B440='Loan Terms'!$H$9*12),"",B440+1)</f>
        <v/>
      </c>
      <c r="C441" s="128" t="str">
        <f>IF(B441="","",IF('Loan Terms'!$H$15="30/360",30,D441-D440))</f>
        <v/>
      </c>
      <c r="D441" s="129" t="str">
        <f t="shared" si="49"/>
        <v/>
      </c>
      <c r="E441" s="129" t="str">
        <f>IF(B441="","",IF(B441&lt;='Loan Terms'!$G$10,"Yes","No"))</f>
        <v/>
      </c>
      <c r="F441" s="101" t="str">
        <f>IF(B441="","",IF('Loan Terms'!$C$13="Fixed",'Loan Terms'!$H$17,V441))</f>
        <v/>
      </c>
      <c r="G441" s="12" t="str">
        <f t="shared" si="50"/>
        <v/>
      </c>
      <c r="H441" s="12" t="str">
        <f>IF(G441="","",IF('Loan Terms'!$C$13="Fixed",(E441="Yes")*J441+(E441="No")*'Loan Terms'!$H$19,PMT(F441/12,'Loan Terms'!$G$11-B441+1,-G441)))</f>
        <v/>
      </c>
      <c r="I441" s="12" t="str">
        <f>IF(B441="","",IF(B441='Loan Terms'!$H$9*12,G441,H441-J441))</f>
        <v/>
      </c>
      <c r="J441" s="130" t="str">
        <f>IF(B441="","",IF('Loan Terms'!$H$15="Actual/365",F441*(C441/365),F441*(C441/360))*G441)</f>
        <v/>
      </c>
      <c r="K441" s="12" t="str">
        <f t="shared" si="47"/>
        <v/>
      </c>
      <c r="L441" s="130" t="str">
        <f t="shared" si="51"/>
        <v/>
      </c>
      <c r="N441" s="14" t="str">
        <f t="shared" si="52"/>
        <v/>
      </c>
      <c r="S441" s="217" t="str">
        <f t="shared" si="48"/>
        <v/>
      </c>
      <c r="T441" s="218" t="str">
        <f t="shared" si="46"/>
        <v/>
      </c>
      <c r="U441" s="219" t="str">
        <f>IF(S441="","",'Loan Terms'!$H$14)</f>
        <v/>
      </c>
      <c r="V441" s="220" t="str">
        <f t="shared" si="53"/>
        <v/>
      </c>
    </row>
    <row r="442" spans="2:22" ht="14.25" customHeight="1" x14ac:dyDescent="0.2">
      <c r="B442" s="126" t="str">
        <f>IF(OR(B441="",B441='Loan Terms'!$H$9*12),"",B441+1)</f>
        <v/>
      </c>
      <c r="C442" s="128" t="str">
        <f>IF(B442="","",IF('Loan Terms'!$H$15="30/360",30,D442-D441))</f>
        <v/>
      </c>
      <c r="D442" s="129" t="str">
        <f t="shared" si="49"/>
        <v/>
      </c>
      <c r="E442" s="129" t="str">
        <f>IF(B442="","",IF(B442&lt;='Loan Terms'!$G$10,"Yes","No"))</f>
        <v/>
      </c>
      <c r="F442" s="101" t="str">
        <f>IF(B442="","",IF('Loan Terms'!$C$13="Fixed",'Loan Terms'!$H$17,V442))</f>
        <v/>
      </c>
      <c r="G442" s="12" t="str">
        <f t="shared" si="50"/>
        <v/>
      </c>
      <c r="H442" s="12" t="str">
        <f>IF(G442="","",IF('Loan Terms'!$C$13="Fixed",(E442="Yes")*J442+(E442="No")*'Loan Terms'!$H$19,PMT(F442/12,'Loan Terms'!$G$11-B442+1,-G442)))</f>
        <v/>
      </c>
      <c r="I442" s="12" t="str">
        <f>IF(B442="","",IF(B442='Loan Terms'!$H$9*12,G442,H442-J442))</f>
        <v/>
      </c>
      <c r="J442" s="130" t="str">
        <f>IF(B442="","",IF('Loan Terms'!$H$15="Actual/365",F442*(C442/365),F442*(C442/360))*G442)</f>
        <v/>
      </c>
      <c r="K442" s="12" t="str">
        <f t="shared" si="47"/>
        <v/>
      </c>
      <c r="L442" s="130" t="str">
        <f t="shared" si="51"/>
        <v/>
      </c>
      <c r="N442" s="14" t="str">
        <f t="shared" si="52"/>
        <v/>
      </c>
      <c r="S442" s="217" t="str">
        <f t="shared" si="48"/>
        <v/>
      </c>
      <c r="T442" s="218" t="str">
        <f t="shared" si="46"/>
        <v/>
      </c>
      <c r="U442" s="219" t="str">
        <f>IF(S442="","",'Loan Terms'!$H$14)</f>
        <v/>
      </c>
      <c r="V442" s="220" t="str">
        <f t="shared" si="53"/>
        <v/>
      </c>
    </row>
    <row r="443" spans="2:22" ht="14.25" customHeight="1" x14ac:dyDescent="0.2">
      <c r="B443" s="126" t="str">
        <f>IF(OR(B442="",B442='Loan Terms'!$H$9*12),"",B442+1)</f>
        <v/>
      </c>
      <c r="C443" s="128" t="str">
        <f>IF(B443="","",IF('Loan Terms'!$H$15="30/360",30,D443-D442))</f>
        <v/>
      </c>
      <c r="D443" s="129" t="str">
        <f t="shared" si="49"/>
        <v/>
      </c>
      <c r="E443" s="129" t="str">
        <f>IF(B443="","",IF(B443&lt;='Loan Terms'!$G$10,"Yes","No"))</f>
        <v/>
      </c>
      <c r="F443" s="101" t="str">
        <f>IF(B443="","",IF('Loan Terms'!$C$13="Fixed",'Loan Terms'!$H$17,V443))</f>
        <v/>
      </c>
      <c r="G443" s="12" t="str">
        <f t="shared" si="50"/>
        <v/>
      </c>
      <c r="H443" s="12" t="str">
        <f>IF(G443="","",IF('Loan Terms'!$C$13="Fixed",(E443="Yes")*J443+(E443="No")*'Loan Terms'!$H$19,PMT(F443/12,'Loan Terms'!$G$11-B443+1,-G443)))</f>
        <v/>
      </c>
      <c r="I443" s="12" t="str">
        <f>IF(B443="","",IF(B443='Loan Terms'!$H$9*12,G443,H443-J443))</f>
        <v/>
      </c>
      <c r="J443" s="130" t="str">
        <f>IF(B443="","",IF('Loan Terms'!$H$15="Actual/365",F443*(C443/365),F443*(C443/360))*G443)</f>
        <v/>
      </c>
      <c r="K443" s="12" t="str">
        <f t="shared" si="47"/>
        <v/>
      </c>
      <c r="L443" s="130" t="str">
        <f t="shared" si="51"/>
        <v/>
      </c>
      <c r="N443" s="14" t="str">
        <f t="shared" si="52"/>
        <v/>
      </c>
      <c r="S443" s="217" t="str">
        <f t="shared" si="48"/>
        <v/>
      </c>
      <c r="T443" s="218" t="str">
        <f t="shared" si="46"/>
        <v/>
      </c>
      <c r="U443" s="219" t="str">
        <f>IF(S443="","",'Loan Terms'!$H$14)</f>
        <v/>
      </c>
      <c r="V443" s="220" t="str">
        <f t="shared" si="53"/>
        <v/>
      </c>
    </row>
    <row r="444" spans="2:22" ht="14.25" customHeight="1" x14ac:dyDescent="0.2">
      <c r="B444" s="126" t="str">
        <f>IF(OR(B443="",B443='Loan Terms'!$H$9*12),"",B443+1)</f>
        <v/>
      </c>
      <c r="C444" s="128" t="str">
        <f>IF(B444="","",IF('Loan Terms'!$H$15="30/360",30,D444-D443))</f>
        <v/>
      </c>
      <c r="D444" s="129" t="str">
        <f t="shared" si="49"/>
        <v/>
      </c>
      <c r="E444" s="129" t="str">
        <f>IF(B444="","",IF(B444&lt;='Loan Terms'!$G$10,"Yes","No"))</f>
        <v/>
      </c>
      <c r="F444" s="101" t="str">
        <f>IF(B444="","",IF('Loan Terms'!$C$13="Fixed",'Loan Terms'!$H$17,V444))</f>
        <v/>
      </c>
      <c r="G444" s="12" t="str">
        <f t="shared" si="50"/>
        <v/>
      </c>
      <c r="H444" s="12" t="str">
        <f>IF(G444="","",IF('Loan Terms'!$C$13="Fixed",(E444="Yes")*J444+(E444="No")*'Loan Terms'!$H$19,PMT(F444/12,'Loan Terms'!$G$11-B444+1,-G444)))</f>
        <v/>
      </c>
      <c r="I444" s="12" t="str">
        <f>IF(B444="","",IF(B444='Loan Terms'!$H$9*12,G444,H444-J444))</f>
        <v/>
      </c>
      <c r="J444" s="130" t="str">
        <f>IF(B444="","",IF('Loan Terms'!$H$15="Actual/365",F444*(C444/365),F444*(C444/360))*G444)</f>
        <v/>
      </c>
      <c r="K444" s="12" t="str">
        <f t="shared" si="47"/>
        <v/>
      </c>
      <c r="L444" s="130" t="str">
        <f t="shared" si="51"/>
        <v/>
      </c>
      <c r="N444" s="14" t="str">
        <f t="shared" si="52"/>
        <v/>
      </c>
      <c r="S444" s="217" t="str">
        <f t="shared" si="48"/>
        <v/>
      </c>
      <c r="T444" s="218" t="str">
        <f t="shared" si="46"/>
        <v/>
      </c>
      <c r="U444" s="219" t="str">
        <f>IF(S444="","",'Loan Terms'!$H$14)</f>
        <v/>
      </c>
      <c r="V444" s="220" t="str">
        <f t="shared" si="53"/>
        <v/>
      </c>
    </row>
    <row r="445" spans="2:22" ht="14.25" customHeight="1" x14ac:dyDescent="0.2">
      <c r="B445" s="126" t="str">
        <f>IF(OR(B444="",B444='Loan Terms'!$H$9*12),"",B444+1)</f>
        <v/>
      </c>
      <c r="C445" s="128" t="str">
        <f>IF(B445="","",IF('Loan Terms'!$H$15="30/360",30,D445-D444))</f>
        <v/>
      </c>
      <c r="D445" s="129" t="str">
        <f t="shared" si="49"/>
        <v/>
      </c>
      <c r="E445" s="129" t="str">
        <f>IF(B445="","",IF(B445&lt;='Loan Terms'!$G$10,"Yes","No"))</f>
        <v/>
      </c>
      <c r="F445" s="101" t="str">
        <f>IF(B445="","",IF('Loan Terms'!$C$13="Fixed",'Loan Terms'!$H$17,V445))</f>
        <v/>
      </c>
      <c r="G445" s="12" t="str">
        <f t="shared" si="50"/>
        <v/>
      </c>
      <c r="H445" s="12" t="str">
        <f>IF(G445="","",IF('Loan Terms'!$C$13="Fixed",(E445="Yes")*J445+(E445="No")*'Loan Terms'!$H$19,PMT(F445/12,'Loan Terms'!$G$11-B445+1,-G445)))</f>
        <v/>
      </c>
      <c r="I445" s="12" t="str">
        <f>IF(B445="","",IF(B445='Loan Terms'!$H$9*12,G445,H445-J445))</f>
        <v/>
      </c>
      <c r="J445" s="130" t="str">
        <f>IF(B445="","",IF('Loan Terms'!$H$15="Actual/365",F445*(C445/365),F445*(C445/360))*G445)</f>
        <v/>
      </c>
      <c r="K445" s="12" t="str">
        <f t="shared" si="47"/>
        <v/>
      </c>
      <c r="L445" s="130" t="str">
        <f t="shared" si="51"/>
        <v/>
      </c>
      <c r="N445" s="14" t="str">
        <f t="shared" si="52"/>
        <v/>
      </c>
      <c r="S445" s="217" t="str">
        <f t="shared" si="48"/>
        <v/>
      </c>
      <c r="T445" s="218" t="str">
        <f t="shared" si="46"/>
        <v/>
      </c>
      <c r="U445" s="219" t="str">
        <f>IF(S445="","",'Loan Terms'!$H$14)</f>
        <v/>
      </c>
      <c r="V445" s="220" t="str">
        <f t="shared" si="53"/>
        <v/>
      </c>
    </row>
    <row r="446" spans="2:22" ht="14.25" customHeight="1" x14ac:dyDescent="0.2">
      <c r="B446" s="126" t="str">
        <f>IF(OR(B445="",B445='Loan Terms'!$H$9*12),"",B445+1)</f>
        <v/>
      </c>
      <c r="C446" s="128" t="str">
        <f>IF(B446="","",IF('Loan Terms'!$H$15="30/360",30,D446-D445))</f>
        <v/>
      </c>
      <c r="D446" s="129" t="str">
        <f t="shared" si="49"/>
        <v/>
      </c>
      <c r="E446" s="129" t="str">
        <f>IF(B446="","",IF(B446&lt;='Loan Terms'!$G$10,"Yes","No"))</f>
        <v/>
      </c>
      <c r="F446" s="101" t="str">
        <f>IF(B446="","",IF('Loan Terms'!$C$13="Fixed",'Loan Terms'!$H$17,V446))</f>
        <v/>
      </c>
      <c r="G446" s="12" t="str">
        <f t="shared" si="50"/>
        <v/>
      </c>
      <c r="H446" s="12" t="str">
        <f>IF(G446="","",IF('Loan Terms'!$C$13="Fixed",(E446="Yes")*J446+(E446="No")*'Loan Terms'!$H$19,PMT(F446/12,'Loan Terms'!$G$11-B446+1,-G446)))</f>
        <v/>
      </c>
      <c r="I446" s="12" t="str">
        <f>IF(B446="","",IF(B446='Loan Terms'!$H$9*12,G446,H446-J446))</f>
        <v/>
      </c>
      <c r="J446" s="130" t="str">
        <f>IF(B446="","",IF('Loan Terms'!$H$15="Actual/365",F446*(C446/365),F446*(C446/360))*G446)</f>
        <v/>
      </c>
      <c r="K446" s="12" t="str">
        <f t="shared" si="47"/>
        <v/>
      </c>
      <c r="L446" s="130" t="str">
        <f t="shared" si="51"/>
        <v/>
      </c>
      <c r="N446" s="14" t="str">
        <f t="shared" si="52"/>
        <v/>
      </c>
      <c r="S446" s="217" t="str">
        <f t="shared" si="48"/>
        <v/>
      </c>
      <c r="T446" s="218" t="str">
        <f t="shared" si="46"/>
        <v/>
      </c>
      <c r="U446" s="219" t="str">
        <f>IF(S446="","",'Loan Terms'!$H$14)</f>
        <v/>
      </c>
      <c r="V446" s="220" t="str">
        <f t="shared" si="53"/>
        <v/>
      </c>
    </row>
    <row r="447" spans="2:22" ht="14.25" customHeight="1" x14ac:dyDescent="0.2">
      <c r="B447" s="126" t="str">
        <f>IF(OR(B446="",B446='Loan Terms'!$H$9*12),"",B446+1)</f>
        <v/>
      </c>
      <c r="C447" s="128" t="str">
        <f>IF(B447="","",IF('Loan Terms'!$H$15="30/360",30,D447-D446))</f>
        <v/>
      </c>
      <c r="D447" s="129" t="str">
        <f t="shared" si="49"/>
        <v/>
      </c>
      <c r="E447" s="129" t="str">
        <f>IF(B447="","",IF(B447&lt;='Loan Terms'!$G$10,"Yes","No"))</f>
        <v/>
      </c>
      <c r="F447" s="101" t="str">
        <f>IF(B447="","",IF('Loan Terms'!$C$13="Fixed",'Loan Terms'!$H$17,V447))</f>
        <v/>
      </c>
      <c r="G447" s="12" t="str">
        <f t="shared" si="50"/>
        <v/>
      </c>
      <c r="H447" s="12" t="str">
        <f>IF(G447="","",IF('Loan Terms'!$C$13="Fixed",(E447="Yes")*J447+(E447="No")*'Loan Terms'!$H$19,PMT(F447/12,'Loan Terms'!$G$11-B447+1,-G447)))</f>
        <v/>
      </c>
      <c r="I447" s="12" t="str">
        <f>IF(B447="","",IF(B447='Loan Terms'!$H$9*12,G447,H447-J447))</f>
        <v/>
      </c>
      <c r="J447" s="130" t="str">
        <f>IF(B447="","",IF('Loan Terms'!$H$15="Actual/365",F447*(C447/365),F447*(C447/360))*G447)</f>
        <v/>
      </c>
      <c r="K447" s="12" t="str">
        <f t="shared" si="47"/>
        <v/>
      </c>
      <c r="L447" s="130" t="str">
        <f t="shared" si="51"/>
        <v/>
      </c>
      <c r="N447" s="14" t="str">
        <f t="shared" si="52"/>
        <v/>
      </c>
      <c r="S447" s="217" t="str">
        <f t="shared" si="48"/>
        <v/>
      </c>
      <c r="T447" s="218" t="str">
        <f t="shared" ref="T447:T510" si="54">IF(S447="","",T446)</f>
        <v/>
      </c>
      <c r="U447" s="219" t="str">
        <f>IF(S447="","",'Loan Terms'!$H$14)</f>
        <v/>
      </c>
      <c r="V447" s="220" t="str">
        <f t="shared" si="53"/>
        <v/>
      </c>
    </row>
    <row r="448" spans="2:22" ht="14.25" customHeight="1" x14ac:dyDescent="0.2">
      <c r="B448" s="126" t="str">
        <f>IF(OR(B447="",B447='Loan Terms'!$H$9*12),"",B447+1)</f>
        <v/>
      </c>
      <c r="C448" s="128" t="str">
        <f>IF(B448="","",IF('Loan Terms'!$H$15="30/360",30,D448-D447))</f>
        <v/>
      </c>
      <c r="D448" s="129" t="str">
        <f t="shared" si="49"/>
        <v/>
      </c>
      <c r="E448" s="129" t="str">
        <f>IF(B448="","",IF(B448&lt;='Loan Terms'!$G$10,"Yes","No"))</f>
        <v/>
      </c>
      <c r="F448" s="101" t="str">
        <f>IF(B448="","",IF('Loan Terms'!$C$13="Fixed",'Loan Terms'!$H$17,V448))</f>
        <v/>
      </c>
      <c r="G448" s="12" t="str">
        <f t="shared" si="50"/>
        <v/>
      </c>
      <c r="H448" s="12" t="str">
        <f>IF(G448="","",IF('Loan Terms'!$C$13="Fixed",(E448="Yes")*J448+(E448="No")*'Loan Terms'!$H$19,PMT(F448/12,'Loan Terms'!$G$11-B448+1,-G448)))</f>
        <v/>
      </c>
      <c r="I448" s="12" t="str">
        <f>IF(B448="","",IF(B448='Loan Terms'!$H$9*12,G448,H448-J448))</f>
        <v/>
      </c>
      <c r="J448" s="130" t="str">
        <f>IF(B448="","",IF('Loan Terms'!$H$15="Actual/365",F448*(C448/365),F448*(C448/360))*G448)</f>
        <v/>
      </c>
      <c r="K448" s="12" t="str">
        <f t="shared" si="47"/>
        <v/>
      </c>
      <c r="L448" s="130" t="str">
        <f t="shared" si="51"/>
        <v/>
      </c>
      <c r="N448" s="14" t="str">
        <f t="shared" si="52"/>
        <v/>
      </c>
      <c r="S448" s="217" t="str">
        <f t="shared" si="48"/>
        <v/>
      </c>
      <c r="T448" s="218" t="str">
        <f t="shared" si="54"/>
        <v/>
      </c>
      <c r="U448" s="219" t="str">
        <f>IF(S448="","",'Loan Terms'!$H$14)</f>
        <v/>
      </c>
      <c r="V448" s="220" t="str">
        <f t="shared" si="53"/>
        <v/>
      </c>
    </row>
    <row r="449" spans="2:22" ht="14.25" customHeight="1" x14ac:dyDescent="0.2">
      <c r="B449" s="126" t="str">
        <f>IF(OR(B448="",B448='Loan Terms'!$H$9*12),"",B448+1)</f>
        <v/>
      </c>
      <c r="C449" s="128" t="str">
        <f>IF(B449="","",IF('Loan Terms'!$H$15="30/360",30,D449-D448))</f>
        <v/>
      </c>
      <c r="D449" s="129" t="str">
        <f t="shared" si="49"/>
        <v/>
      </c>
      <c r="E449" s="129" t="str">
        <f>IF(B449="","",IF(B449&lt;='Loan Terms'!$G$10,"Yes","No"))</f>
        <v/>
      </c>
      <c r="F449" s="101" t="str">
        <f>IF(B449="","",IF('Loan Terms'!$C$13="Fixed",'Loan Terms'!$H$17,V449))</f>
        <v/>
      </c>
      <c r="G449" s="12" t="str">
        <f t="shared" si="50"/>
        <v/>
      </c>
      <c r="H449" s="12" t="str">
        <f>IF(G449="","",IF('Loan Terms'!$C$13="Fixed",(E449="Yes")*J449+(E449="No")*'Loan Terms'!$H$19,PMT(F449/12,'Loan Terms'!$G$11-B449+1,-G449)))</f>
        <v/>
      </c>
      <c r="I449" s="12" t="str">
        <f>IF(B449="","",IF(B449='Loan Terms'!$H$9*12,G449,H449-J449))</f>
        <v/>
      </c>
      <c r="J449" s="130" t="str">
        <f>IF(B449="","",IF('Loan Terms'!$H$15="Actual/365",F449*(C449/365),F449*(C449/360))*G449)</f>
        <v/>
      </c>
      <c r="K449" s="12" t="str">
        <f t="shared" si="47"/>
        <v/>
      </c>
      <c r="L449" s="130" t="str">
        <f t="shared" si="51"/>
        <v/>
      </c>
      <c r="N449" s="14" t="str">
        <f t="shared" si="52"/>
        <v/>
      </c>
      <c r="S449" s="217" t="str">
        <f t="shared" si="48"/>
        <v/>
      </c>
      <c r="T449" s="218" t="str">
        <f t="shared" si="54"/>
        <v/>
      </c>
      <c r="U449" s="219" t="str">
        <f>IF(S449="","",'Loan Terms'!$H$14)</f>
        <v/>
      </c>
      <c r="V449" s="220" t="str">
        <f t="shared" si="53"/>
        <v/>
      </c>
    </row>
    <row r="450" spans="2:22" ht="14.25" customHeight="1" x14ac:dyDescent="0.2">
      <c r="B450" s="126" t="str">
        <f>IF(OR(B449="",B449='Loan Terms'!$H$9*12),"",B449+1)</f>
        <v/>
      </c>
      <c r="C450" s="128" t="str">
        <f>IF(B450="","",IF('Loan Terms'!$H$15="30/360",30,D450-D449))</f>
        <v/>
      </c>
      <c r="D450" s="129" t="str">
        <f t="shared" si="49"/>
        <v/>
      </c>
      <c r="E450" s="129" t="str">
        <f>IF(B450="","",IF(B450&lt;='Loan Terms'!$G$10,"Yes","No"))</f>
        <v/>
      </c>
      <c r="F450" s="101" t="str">
        <f>IF(B450="","",IF('Loan Terms'!$C$13="Fixed",'Loan Terms'!$H$17,V450))</f>
        <v/>
      </c>
      <c r="G450" s="12" t="str">
        <f t="shared" si="50"/>
        <v/>
      </c>
      <c r="H450" s="12" t="str">
        <f>IF(G450="","",IF('Loan Terms'!$C$13="Fixed",(E450="Yes")*J450+(E450="No")*'Loan Terms'!$H$19,PMT(F450/12,'Loan Terms'!$G$11-B450+1,-G450)))</f>
        <v/>
      </c>
      <c r="I450" s="12" t="str">
        <f>IF(B450="","",IF(B450='Loan Terms'!$H$9*12,G450,H450-J450))</f>
        <v/>
      </c>
      <c r="J450" s="130" t="str">
        <f>IF(B450="","",IF('Loan Terms'!$H$15="Actual/365",F450*(C450/365),F450*(C450/360))*G450)</f>
        <v/>
      </c>
      <c r="K450" s="12" t="str">
        <f t="shared" si="47"/>
        <v/>
      </c>
      <c r="L450" s="130" t="str">
        <f t="shared" si="51"/>
        <v/>
      </c>
      <c r="N450" s="14" t="str">
        <f t="shared" si="52"/>
        <v/>
      </c>
      <c r="S450" s="217" t="str">
        <f t="shared" si="48"/>
        <v/>
      </c>
      <c r="T450" s="218" t="str">
        <f t="shared" si="54"/>
        <v/>
      </c>
      <c r="U450" s="219" t="str">
        <f>IF(S450="","",'Loan Terms'!$H$14)</f>
        <v/>
      </c>
      <c r="V450" s="220" t="str">
        <f t="shared" si="53"/>
        <v/>
      </c>
    </row>
    <row r="451" spans="2:22" ht="14.25" customHeight="1" x14ac:dyDescent="0.2">
      <c r="B451" s="126" t="str">
        <f>IF(OR(B450="",B450='Loan Terms'!$H$9*12),"",B450+1)</f>
        <v/>
      </c>
      <c r="C451" s="128" t="str">
        <f>IF(B451="","",IF('Loan Terms'!$H$15="30/360",30,D451-D450))</f>
        <v/>
      </c>
      <c r="D451" s="129" t="str">
        <f t="shared" si="49"/>
        <v/>
      </c>
      <c r="E451" s="129" t="str">
        <f>IF(B451="","",IF(B451&lt;='Loan Terms'!$G$10,"Yes","No"))</f>
        <v/>
      </c>
      <c r="F451" s="101" t="str">
        <f>IF(B451="","",IF('Loan Terms'!$C$13="Fixed",'Loan Terms'!$H$17,V451))</f>
        <v/>
      </c>
      <c r="G451" s="12" t="str">
        <f t="shared" si="50"/>
        <v/>
      </c>
      <c r="H451" s="12" t="str">
        <f>IF(G451="","",IF('Loan Terms'!$C$13="Fixed",(E451="Yes")*J451+(E451="No")*'Loan Terms'!$H$19,PMT(F451/12,'Loan Terms'!$G$11-B451+1,-G451)))</f>
        <v/>
      </c>
      <c r="I451" s="12" t="str">
        <f>IF(B451="","",IF(B451='Loan Terms'!$H$9*12,G451,H451-J451))</f>
        <v/>
      </c>
      <c r="J451" s="130" t="str">
        <f>IF(B451="","",IF('Loan Terms'!$H$15="Actual/365",F451*(C451/365),F451*(C451/360))*G451)</f>
        <v/>
      </c>
      <c r="K451" s="12" t="str">
        <f t="shared" si="47"/>
        <v/>
      </c>
      <c r="L451" s="130" t="str">
        <f t="shared" si="51"/>
        <v/>
      </c>
      <c r="N451" s="14" t="str">
        <f t="shared" si="52"/>
        <v/>
      </c>
      <c r="S451" s="217" t="str">
        <f t="shared" si="48"/>
        <v/>
      </c>
      <c r="T451" s="218" t="str">
        <f t="shared" si="54"/>
        <v/>
      </c>
      <c r="U451" s="219" t="str">
        <f>IF(S451="","",'Loan Terms'!$H$14)</f>
        <v/>
      </c>
      <c r="V451" s="220" t="str">
        <f t="shared" si="53"/>
        <v/>
      </c>
    </row>
    <row r="452" spans="2:22" ht="14.25" customHeight="1" x14ac:dyDescent="0.2">
      <c r="B452" s="126" t="str">
        <f>IF(OR(B451="",B451='Loan Terms'!$H$9*12),"",B451+1)</f>
        <v/>
      </c>
      <c r="C452" s="128" t="str">
        <f>IF(B452="","",IF('Loan Terms'!$H$15="30/360",30,D452-D451))</f>
        <v/>
      </c>
      <c r="D452" s="129" t="str">
        <f t="shared" si="49"/>
        <v/>
      </c>
      <c r="E452" s="129" t="str">
        <f>IF(B452="","",IF(B452&lt;='Loan Terms'!$G$10,"Yes","No"))</f>
        <v/>
      </c>
      <c r="F452" s="101" t="str">
        <f>IF(B452="","",IF('Loan Terms'!$C$13="Fixed",'Loan Terms'!$H$17,V452))</f>
        <v/>
      </c>
      <c r="G452" s="12" t="str">
        <f t="shared" si="50"/>
        <v/>
      </c>
      <c r="H452" s="12" t="str">
        <f>IF(G452="","",IF('Loan Terms'!$C$13="Fixed",(E452="Yes")*J452+(E452="No")*'Loan Terms'!$H$19,PMT(F452/12,'Loan Terms'!$G$11-B452+1,-G452)))</f>
        <v/>
      </c>
      <c r="I452" s="12" t="str">
        <f>IF(B452="","",IF(B452='Loan Terms'!$H$9*12,G452,H452-J452))</f>
        <v/>
      </c>
      <c r="J452" s="130" t="str">
        <f>IF(B452="","",IF('Loan Terms'!$H$15="Actual/365",F452*(C452/365),F452*(C452/360))*G452)</f>
        <v/>
      </c>
      <c r="K452" s="12" t="str">
        <f t="shared" si="47"/>
        <v/>
      </c>
      <c r="L452" s="130" t="str">
        <f t="shared" si="51"/>
        <v/>
      </c>
      <c r="N452" s="14" t="str">
        <f t="shared" si="52"/>
        <v/>
      </c>
      <c r="S452" s="217" t="str">
        <f t="shared" si="48"/>
        <v/>
      </c>
      <c r="T452" s="218" t="str">
        <f t="shared" si="54"/>
        <v/>
      </c>
      <c r="U452" s="219" t="str">
        <f>IF(S452="","",'Loan Terms'!$H$14)</f>
        <v/>
      </c>
      <c r="V452" s="220" t="str">
        <f t="shared" si="53"/>
        <v/>
      </c>
    </row>
    <row r="453" spans="2:22" ht="14.25" customHeight="1" x14ac:dyDescent="0.2">
      <c r="B453" s="126" t="str">
        <f>IF(OR(B452="",B452='Loan Terms'!$H$9*12),"",B452+1)</f>
        <v/>
      </c>
      <c r="C453" s="128" t="str">
        <f>IF(B453="","",IF('Loan Terms'!$H$15="30/360",30,D453-D452))</f>
        <v/>
      </c>
      <c r="D453" s="129" t="str">
        <f t="shared" si="49"/>
        <v/>
      </c>
      <c r="E453" s="129" t="str">
        <f>IF(B453="","",IF(B453&lt;='Loan Terms'!$G$10,"Yes","No"))</f>
        <v/>
      </c>
      <c r="F453" s="101" t="str">
        <f>IF(B453="","",IF('Loan Terms'!$C$13="Fixed",'Loan Terms'!$H$17,V453))</f>
        <v/>
      </c>
      <c r="G453" s="12" t="str">
        <f t="shared" si="50"/>
        <v/>
      </c>
      <c r="H453" s="12" t="str">
        <f>IF(G453="","",IF('Loan Terms'!$C$13="Fixed",(E453="Yes")*J453+(E453="No")*'Loan Terms'!$H$19,PMT(F453/12,'Loan Terms'!$G$11-B453+1,-G453)))</f>
        <v/>
      </c>
      <c r="I453" s="12" t="str">
        <f>IF(B453="","",IF(B453='Loan Terms'!$H$9*12,G453,H453-J453))</f>
        <v/>
      </c>
      <c r="J453" s="130" t="str">
        <f>IF(B453="","",IF('Loan Terms'!$H$15="Actual/365",F453*(C453/365),F453*(C453/360))*G453)</f>
        <v/>
      </c>
      <c r="K453" s="12" t="str">
        <f t="shared" si="47"/>
        <v/>
      </c>
      <c r="L453" s="130" t="str">
        <f t="shared" si="51"/>
        <v/>
      </c>
      <c r="N453" s="14" t="str">
        <f t="shared" si="52"/>
        <v/>
      </c>
      <c r="S453" s="217" t="str">
        <f t="shared" si="48"/>
        <v/>
      </c>
      <c r="T453" s="218" t="str">
        <f t="shared" si="54"/>
        <v/>
      </c>
      <c r="U453" s="219" t="str">
        <f>IF(S453="","",'Loan Terms'!$H$14)</f>
        <v/>
      </c>
      <c r="V453" s="220" t="str">
        <f t="shared" si="53"/>
        <v/>
      </c>
    </row>
    <row r="454" spans="2:22" ht="14.25" customHeight="1" x14ac:dyDescent="0.2">
      <c r="B454" s="126" t="str">
        <f>IF(OR(B453="",B453='Loan Terms'!$H$9*12),"",B453+1)</f>
        <v/>
      </c>
      <c r="C454" s="128" t="str">
        <f>IF(B454="","",IF('Loan Terms'!$H$15="30/360",30,D454-D453))</f>
        <v/>
      </c>
      <c r="D454" s="129" t="str">
        <f t="shared" si="49"/>
        <v/>
      </c>
      <c r="E454" s="129" t="str">
        <f>IF(B454="","",IF(B454&lt;='Loan Terms'!$G$10,"Yes","No"))</f>
        <v/>
      </c>
      <c r="F454" s="101" t="str">
        <f>IF(B454="","",IF('Loan Terms'!$C$13="Fixed",'Loan Terms'!$H$17,V454))</f>
        <v/>
      </c>
      <c r="G454" s="12" t="str">
        <f t="shared" si="50"/>
        <v/>
      </c>
      <c r="H454" s="12" t="str">
        <f>IF(G454="","",IF('Loan Terms'!$C$13="Fixed",(E454="Yes")*J454+(E454="No")*'Loan Terms'!$H$19,PMT(F454/12,'Loan Terms'!$G$11-B454+1,-G454)))</f>
        <v/>
      </c>
      <c r="I454" s="12" t="str">
        <f>IF(B454="","",IF(B454='Loan Terms'!$H$9*12,G454,H454-J454))</f>
        <v/>
      </c>
      <c r="J454" s="130" t="str">
        <f>IF(B454="","",IF('Loan Terms'!$H$15="Actual/365",F454*(C454/365),F454*(C454/360))*G454)</f>
        <v/>
      </c>
      <c r="K454" s="12" t="str">
        <f t="shared" ref="K454:K517" si="55">IF(B454="","",G454-I454)</f>
        <v/>
      </c>
      <c r="L454" s="130" t="str">
        <f t="shared" si="51"/>
        <v/>
      </c>
      <c r="N454" s="14" t="str">
        <f t="shared" si="52"/>
        <v/>
      </c>
      <c r="S454" s="217" t="str">
        <f t="shared" ref="S454:S517" si="56">D454</f>
        <v/>
      </c>
      <c r="T454" s="218" t="str">
        <f t="shared" si="54"/>
        <v/>
      </c>
      <c r="U454" s="219" t="str">
        <f>IF(S454="","",'Loan Terms'!$H$14)</f>
        <v/>
      </c>
      <c r="V454" s="220" t="str">
        <f t="shared" si="53"/>
        <v/>
      </c>
    </row>
    <row r="455" spans="2:22" ht="14.25" customHeight="1" x14ac:dyDescent="0.2">
      <c r="B455" s="126" t="str">
        <f>IF(OR(B454="",B454='Loan Terms'!$H$9*12),"",B454+1)</f>
        <v/>
      </c>
      <c r="C455" s="128" t="str">
        <f>IF(B455="","",IF('Loan Terms'!$H$15="30/360",30,D455-D454))</f>
        <v/>
      </c>
      <c r="D455" s="129" t="str">
        <f t="shared" ref="D455:D518" si="57">IF(B455="","",EDATE(D454,1))</f>
        <v/>
      </c>
      <c r="E455" s="129" t="str">
        <f>IF(B455="","",IF(B455&lt;='Loan Terms'!$G$10,"Yes","No"))</f>
        <v/>
      </c>
      <c r="F455" s="101" t="str">
        <f>IF(B455="","",IF('Loan Terms'!$C$13="Fixed",'Loan Terms'!$H$17,V455))</f>
        <v/>
      </c>
      <c r="G455" s="12" t="str">
        <f t="shared" ref="G455:G518" si="58">IF(B455="","",K454)</f>
        <v/>
      </c>
      <c r="H455" s="12" t="str">
        <f>IF(G455="","",IF('Loan Terms'!$C$13="Fixed",(E455="Yes")*J455+(E455="No")*'Loan Terms'!$H$19,PMT(F455/12,'Loan Terms'!$G$11-B455+1,-G455)))</f>
        <v/>
      </c>
      <c r="I455" s="12" t="str">
        <f>IF(B455="","",IF(B455='Loan Terms'!$H$9*12,G455,H455-J455))</f>
        <v/>
      </c>
      <c r="J455" s="130" t="str">
        <f>IF(B455="","",IF('Loan Terms'!$H$15="Actual/365",F455*(C455/365),F455*(C455/360))*G455)</f>
        <v/>
      </c>
      <c r="K455" s="12" t="str">
        <f t="shared" si="55"/>
        <v/>
      </c>
      <c r="L455" s="130" t="str">
        <f t="shared" ref="L455:L518" si="59">IF(B455="","",J455+I455)</f>
        <v/>
      </c>
      <c r="N455" s="14" t="str">
        <f t="shared" ref="N455:N518" si="60">IF(B455="","",I455*B455)</f>
        <v/>
      </c>
      <c r="S455" s="217" t="str">
        <f t="shared" si="56"/>
        <v/>
      </c>
      <c r="T455" s="218" t="str">
        <f t="shared" si="54"/>
        <v/>
      </c>
      <c r="U455" s="219" t="str">
        <f>IF(S455="","",'Loan Terms'!$H$14)</f>
        <v/>
      </c>
      <c r="V455" s="220" t="str">
        <f t="shared" ref="V455:V518" si="61">IF(S455="","",T455+U455/10000)</f>
        <v/>
      </c>
    </row>
    <row r="456" spans="2:22" ht="14.25" customHeight="1" x14ac:dyDescent="0.2">
      <c r="B456" s="126" t="str">
        <f>IF(OR(B455="",B455='Loan Terms'!$H$9*12),"",B455+1)</f>
        <v/>
      </c>
      <c r="C456" s="128" t="str">
        <f>IF(B456="","",IF('Loan Terms'!$H$15="30/360",30,D456-D455))</f>
        <v/>
      </c>
      <c r="D456" s="129" t="str">
        <f t="shared" si="57"/>
        <v/>
      </c>
      <c r="E456" s="129" t="str">
        <f>IF(B456="","",IF(B456&lt;='Loan Terms'!$G$10,"Yes","No"))</f>
        <v/>
      </c>
      <c r="F456" s="101" t="str">
        <f>IF(B456="","",IF('Loan Terms'!$C$13="Fixed",'Loan Terms'!$H$17,V456))</f>
        <v/>
      </c>
      <c r="G456" s="12" t="str">
        <f t="shared" si="58"/>
        <v/>
      </c>
      <c r="H456" s="12" t="str">
        <f>IF(G456="","",IF('Loan Terms'!$C$13="Fixed",(E456="Yes")*J456+(E456="No")*'Loan Terms'!$H$19,PMT(F456/12,'Loan Terms'!$G$11-B456+1,-G456)))</f>
        <v/>
      </c>
      <c r="I456" s="12" t="str">
        <f>IF(B456="","",IF(B456='Loan Terms'!$H$9*12,G456,H456-J456))</f>
        <v/>
      </c>
      <c r="J456" s="130" t="str">
        <f>IF(B456="","",IF('Loan Terms'!$H$15="Actual/365",F456*(C456/365),F456*(C456/360))*G456)</f>
        <v/>
      </c>
      <c r="K456" s="12" t="str">
        <f t="shared" si="55"/>
        <v/>
      </c>
      <c r="L456" s="130" t="str">
        <f t="shared" si="59"/>
        <v/>
      </c>
      <c r="N456" s="14" t="str">
        <f t="shared" si="60"/>
        <v/>
      </c>
      <c r="S456" s="217" t="str">
        <f t="shared" si="56"/>
        <v/>
      </c>
      <c r="T456" s="218" t="str">
        <f t="shared" si="54"/>
        <v/>
      </c>
      <c r="U456" s="219" t="str">
        <f>IF(S456="","",'Loan Terms'!$H$14)</f>
        <v/>
      </c>
      <c r="V456" s="220" t="str">
        <f t="shared" si="61"/>
        <v/>
      </c>
    </row>
    <row r="457" spans="2:22" ht="14.25" customHeight="1" x14ac:dyDescent="0.2">
      <c r="B457" s="126" t="str">
        <f>IF(OR(B456="",B456='Loan Terms'!$H$9*12),"",B456+1)</f>
        <v/>
      </c>
      <c r="C457" s="128" t="str">
        <f>IF(B457="","",IF('Loan Terms'!$H$15="30/360",30,D457-D456))</f>
        <v/>
      </c>
      <c r="D457" s="129" t="str">
        <f t="shared" si="57"/>
        <v/>
      </c>
      <c r="E457" s="129" t="str">
        <f>IF(B457="","",IF(B457&lt;='Loan Terms'!$G$10,"Yes","No"))</f>
        <v/>
      </c>
      <c r="F457" s="101" t="str">
        <f>IF(B457="","",IF('Loan Terms'!$C$13="Fixed",'Loan Terms'!$H$17,V457))</f>
        <v/>
      </c>
      <c r="G457" s="12" t="str">
        <f t="shared" si="58"/>
        <v/>
      </c>
      <c r="H457" s="12" t="str">
        <f>IF(G457="","",IF('Loan Terms'!$C$13="Fixed",(E457="Yes")*J457+(E457="No")*'Loan Terms'!$H$19,PMT(F457/12,'Loan Terms'!$G$11-B457+1,-G457)))</f>
        <v/>
      </c>
      <c r="I457" s="12" t="str">
        <f>IF(B457="","",IF(B457='Loan Terms'!$H$9*12,G457,H457-J457))</f>
        <v/>
      </c>
      <c r="J457" s="130" t="str">
        <f>IF(B457="","",IF('Loan Terms'!$H$15="Actual/365",F457*(C457/365),F457*(C457/360))*G457)</f>
        <v/>
      </c>
      <c r="K457" s="12" t="str">
        <f t="shared" si="55"/>
        <v/>
      </c>
      <c r="L457" s="130" t="str">
        <f t="shared" si="59"/>
        <v/>
      </c>
      <c r="N457" s="14" t="str">
        <f t="shared" si="60"/>
        <v/>
      </c>
      <c r="S457" s="217" t="str">
        <f t="shared" si="56"/>
        <v/>
      </c>
      <c r="T457" s="218" t="str">
        <f t="shared" si="54"/>
        <v/>
      </c>
      <c r="U457" s="219" t="str">
        <f>IF(S457="","",'Loan Terms'!$H$14)</f>
        <v/>
      </c>
      <c r="V457" s="220" t="str">
        <f t="shared" si="61"/>
        <v/>
      </c>
    </row>
    <row r="458" spans="2:22" ht="14.25" customHeight="1" x14ac:dyDescent="0.2">
      <c r="B458" s="126" t="str">
        <f>IF(OR(B457="",B457='Loan Terms'!$H$9*12),"",B457+1)</f>
        <v/>
      </c>
      <c r="C458" s="128" t="str">
        <f>IF(B458="","",IF('Loan Terms'!$H$15="30/360",30,D458-D457))</f>
        <v/>
      </c>
      <c r="D458" s="129" t="str">
        <f t="shared" si="57"/>
        <v/>
      </c>
      <c r="E458" s="129" t="str">
        <f>IF(B458="","",IF(B458&lt;='Loan Terms'!$G$10,"Yes","No"))</f>
        <v/>
      </c>
      <c r="F458" s="101" t="str">
        <f>IF(B458="","",IF('Loan Terms'!$C$13="Fixed",'Loan Terms'!$H$17,V458))</f>
        <v/>
      </c>
      <c r="G458" s="12" t="str">
        <f t="shared" si="58"/>
        <v/>
      </c>
      <c r="H458" s="12" t="str">
        <f>IF(G458="","",IF('Loan Terms'!$C$13="Fixed",(E458="Yes")*J458+(E458="No")*'Loan Terms'!$H$19,PMT(F458/12,'Loan Terms'!$G$11-B458+1,-G458)))</f>
        <v/>
      </c>
      <c r="I458" s="12" t="str">
        <f>IF(B458="","",IF(B458='Loan Terms'!$H$9*12,G458,H458-J458))</f>
        <v/>
      </c>
      <c r="J458" s="130" t="str">
        <f>IF(B458="","",IF('Loan Terms'!$H$15="Actual/365",F458*(C458/365),F458*(C458/360))*G458)</f>
        <v/>
      </c>
      <c r="K458" s="12" t="str">
        <f t="shared" si="55"/>
        <v/>
      </c>
      <c r="L458" s="130" t="str">
        <f t="shared" si="59"/>
        <v/>
      </c>
      <c r="N458" s="14" t="str">
        <f t="shared" si="60"/>
        <v/>
      </c>
      <c r="S458" s="217" t="str">
        <f t="shared" si="56"/>
        <v/>
      </c>
      <c r="T458" s="218" t="str">
        <f t="shared" si="54"/>
        <v/>
      </c>
      <c r="U458" s="219" t="str">
        <f>IF(S458="","",'Loan Terms'!$H$14)</f>
        <v/>
      </c>
      <c r="V458" s="220" t="str">
        <f t="shared" si="61"/>
        <v/>
      </c>
    </row>
    <row r="459" spans="2:22" ht="14.25" customHeight="1" x14ac:dyDescent="0.2">
      <c r="B459" s="126" t="str">
        <f>IF(OR(B458="",B458='Loan Terms'!$H$9*12),"",B458+1)</f>
        <v/>
      </c>
      <c r="C459" s="128" t="str">
        <f>IF(B459="","",IF('Loan Terms'!$H$15="30/360",30,D459-D458))</f>
        <v/>
      </c>
      <c r="D459" s="129" t="str">
        <f t="shared" si="57"/>
        <v/>
      </c>
      <c r="E459" s="129" t="str">
        <f>IF(B459="","",IF(B459&lt;='Loan Terms'!$G$10,"Yes","No"))</f>
        <v/>
      </c>
      <c r="F459" s="101" t="str">
        <f>IF(B459="","",IF('Loan Terms'!$C$13="Fixed",'Loan Terms'!$H$17,V459))</f>
        <v/>
      </c>
      <c r="G459" s="12" t="str">
        <f t="shared" si="58"/>
        <v/>
      </c>
      <c r="H459" s="12" t="str">
        <f>IF(G459="","",IF('Loan Terms'!$C$13="Fixed",(E459="Yes")*J459+(E459="No")*'Loan Terms'!$H$19,PMT(F459/12,'Loan Terms'!$G$11-B459+1,-G459)))</f>
        <v/>
      </c>
      <c r="I459" s="12" t="str">
        <f>IF(B459="","",IF(B459='Loan Terms'!$H$9*12,G459,H459-J459))</f>
        <v/>
      </c>
      <c r="J459" s="130" t="str">
        <f>IF(B459="","",IF('Loan Terms'!$H$15="Actual/365",F459*(C459/365),F459*(C459/360))*G459)</f>
        <v/>
      </c>
      <c r="K459" s="12" t="str">
        <f t="shared" si="55"/>
        <v/>
      </c>
      <c r="L459" s="130" t="str">
        <f t="shared" si="59"/>
        <v/>
      </c>
      <c r="N459" s="14" t="str">
        <f t="shared" si="60"/>
        <v/>
      </c>
      <c r="S459" s="217" t="str">
        <f t="shared" si="56"/>
        <v/>
      </c>
      <c r="T459" s="218" t="str">
        <f t="shared" si="54"/>
        <v/>
      </c>
      <c r="U459" s="219" t="str">
        <f>IF(S459="","",'Loan Terms'!$H$14)</f>
        <v/>
      </c>
      <c r="V459" s="220" t="str">
        <f t="shared" si="61"/>
        <v/>
      </c>
    </row>
    <row r="460" spans="2:22" ht="14.25" customHeight="1" x14ac:dyDescent="0.2">
      <c r="B460" s="126" t="str">
        <f>IF(OR(B459="",B459='Loan Terms'!$H$9*12),"",B459+1)</f>
        <v/>
      </c>
      <c r="C460" s="128" t="str">
        <f>IF(B460="","",IF('Loan Terms'!$H$15="30/360",30,D460-D459))</f>
        <v/>
      </c>
      <c r="D460" s="129" t="str">
        <f t="shared" si="57"/>
        <v/>
      </c>
      <c r="E460" s="129" t="str">
        <f>IF(B460="","",IF(B460&lt;='Loan Terms'!$G$10,"Yes","No"))</f>
        <v/>
      </c>
      <c r="F460" s="101" t="str">
        <f>IF(B460="","",IF('Loan Terms'!$C$13="Fixed",'Loan Terms'!$H$17,V460))</f>
        <v/>
      </c>
      <c r="G460" s="12" t="str">
        <f t="shared" si="58"/>
        <v/>
      </c>
      <c r="H460" s="12" t="str">
        <f>IF(G460="","",IF('Loan Terms'!$C$13="Fixed",(E460="Yes")*J460+(E460="No")*'Loan Terms'!$H$19,PMT(F460/12,'Loan Terms'!$G$11-B460+1,-G460)))</f>
        <v/>
      </c>
      <c r="I460" s="12" t="str">
        <f>IF(B460="","",IF(B460='Loan Terms'!$H$9*12,G460,H460-J460))</f>
        <v/>
      </c>
      <c r="J460" s="130" t="str">
        <f>IF(B460="","",IF('Loan Terms'!$H$15="Actual/365",F460*(C460/365),F460*(C460/360))*G460)</f>
        <v/>
      </c>
      <c r="K460" s="12" t="str">
        <f t="shared" si="55"/>
        <v/>
      </c>
      <c r="L460" s="130" t="str">
        <f t="shared" si="59"/>
        <v/>
      </c>
      <c r="N460" s="14" t="str">
        <f t="shared" si="60"/>
        <v/>
      </c>
      <c r="S460" s="217" t="str">
        <f t="shared" si="56"/>
        <v/>
      </c>
      <c r="T460" s="218" t="str">
        <f t="shared" si="54"/>
        <v/>
      </c>
      <c r="U460" s="219" t="str">
        <f>IF(S460="","",'Loan Terms'!$H$14)</f>
        <v/>
      </c>
      <c r="V460" s="220" t="str">
        <f t="shared" si="61"/>
        <v/>
      </c>
    </row>
    <row r="461" spans="2:22" ht="14.25" customHeight="1" x14ac:dyDescent="0.2">
      <c r="B461" s="126" t="str">
        <f>IF(OR(B460="",B460='Loan Terms'!$H$9*12),"",B460+1)</f>
        <v/>
      </c>
      <c r="C461" s="128" t="str">
        <f>IF(B461="","",IF('Loan Terms'!$H$15="30/360",30,D461-D460))</f>
        <v/>
      </c>
      <c r="D461" s="129" t="str">
        <f t="shared" si="57"/>
        <v/>
      </c>
      <c r="E461" s="129" t="str">
        <f>IF(B461="","",IF(B461&lt;='Loan Terms'!$G$10,"Yes","No"))</f>
        <v/>
      </c>
      <c r="F461" s="101" t="str">
        <f>IF(B461="","",IF('Loan Terms'!$C$13="Fixed",'Loan Terms'!$H$17,V461))</f>
        <v/>
      </c>
      <c r="G461" s="12" t="str">
        <f t="shared" si="58"/>
        <v/>
      </c>
      <c r="H461" s="12" t="str">
        <f>IF(G461="","",IF('Loan Terms'!$C$13="Fixed",(E461="Yes")*J461+(E461="No")*'Loan Terms'!$H$19,PMT(F461/12,'Loan Terms'!$G$11-B461+1,-G461)))</f>
        <v/>
      </c>
      <c r="I461" s="12" t="str">
        <f>IF(B461="","",IF(B461='Loan Terms'!$H$9*12,G461,H461-J461))</f>
        <v/>
      </c>
      <c r="J461" s="130" t="str">
        <f>IF(B461="","",IF('Loan Terms'!$H$15="Actual/365",F461*(C461/365),F461*(C461/360))*G461)</f>
        <v/>
      </c>
      <c r="K461" s="12" t="str">
        <f t="shared" si="55"/>
        <v/>
      </c>
      <c r="L461" s="130" t="str">
        <f t="shared" si="59"/>
        <v/>
      </c>
      <c r="N461" s="14" t="str">
        <f t="shared" si="60"/>
        <v/>
      </c>
      <c r="S461" s="217" t="str">
        <f t="shared" si="56"/>
        <v/>
      </c>
      <c r="T461" s="218" t="str">
        <f t="shared" si="54"/>
        <v/>
      </c>
      <c r="U461" s="219" t="str">
        <f>IF(S461="","",'Loan Terms'!$H$14)</f>
        <v/>
      </c>
      <c r="V461" s="220" t="str">
        <f t="shared" si="61"/>
        <v/>
      </c>
    </row>
    <row r="462" spans="2:22" ht="14.25" customHeight="1" x14ac:dyDescent="0.2">
      <c r="B462" s="126" t="str">
        <f>IF(OR(B461="",B461='Loan Terms'!$H$9*12),"",B461+1)</f>
        <v/>
      </c>
      <c r="C462" s="128" t="str">
        <f>IF(B462="","",IF('Loan Terms'!$H$15="30/360",30,D462-D461))</f>
        <v/>
      </c>
      <c r="D462" s="129" t="str">
        <f t="shared" si="57"/>
        <v/>
      </c>
      <c r="E462" s="129" t="str">
        <f>IF(B462="","",IF(B462&lt;='Loan Terms'!$G$10,"Yes","No"))</f>
        <v/>
      </c>
      <c r="F462" s="101" t="str">
        <f>IF(B462="","",IF('Loan Terms'!$C$13="Fixed",'Loan Terms'!$H$17,V462))</f>
        <v/>
      </c>
      <c r="G462" s="12" t="str">
        <f t="shared" si="58"/>
        <v/>
      </c>
      <c r="H462" s="12" t="str">
        <f>IF(G462="","",IF('Loan Terms'!$C$13="Fixed",(E462="Yes")*J462+(E462="No")*'Loan Terms'!$H$19,PMT(F462/12,'Loan Terms'!$G$11-B462+1,-G462)))</f>
        <v/>
      </c>
      <c r="I462" s="12" t="str">
        <f>IF(B462="","",IF(B462='Loan Terms'!$H$9*12,G462,H462-J462))</f>
        <v/>
      </c>
      <c r="J462" s="130" t="str">
        <f>IF(B462="","",IF('Loan Terms'!$H$15="Actual/365",F462*(C462/365),F462*(C462/360))*G462)</f>
        <v/>
      </c>
      <c r="K462" s="12" t="str">
        <f t="shared" si="55"/>
        <v/>
      </c>
      <c r="L462" s="130" t="str">
        <f t="shared" si="59"/>
        <v/>
      </c>
      <c r="N462" s="14" t="str">
        <f t="shared" si="60"/>
        <v/>
      </c>
      <c r="S462" s="217" t="str">
        <f t="shared" si="56"/>
        <v/>
      </c>
      <c r="T462" s="218" t="str">
        <f t="shared" si="54"/>
        <v/>
      </c>
      <c r="U462" s="219" t="str">
        <f>IF(S462="","",'Loan Terms'!$H$14)</f>
        <v/>
      </c>
      <c r="V462" s="220" t="str">
        <f t="shared" si="61"/>
        <v/>
      </c>
    </row>
    <row r="463" spans="2:22" ht="14.25" customHeight="1" x14ac:dyDescent="0.2">
      <c r="B463" s="126" t="str">
        <f>IF(OR(B462="",B462='Loan Terms'!$H$9*12),"",B462+1)</f>
        <v/>
      </c>
      <c r="C463" s="128" t="str">
        <f>IF(B463="","",IF('Loan Terms'!$H$15="30/360",30,D463-D462))</f>
        <v/>
      </c>
      <c r="D463" s="129" t="str">
        <f t="shared" si="57"/>
        <v/>
      </c>
      <c r="E463" s="129" t="str">
        <f>IF(B463="","",IF(B463&lt;='Loan Terms'!$G$10,"Yes","No"))</f>
        <v/>
      </c>
      <c r="F463" s="101" t="str">
        <f>IF(B463="","",IF('Loan Terms'!$C$13="Fixed",'Loan Terms'!$H$17,V463))</f>
        <v/>
      </c>
      <c r="G463" s="12" t="str">
        <f t="shared" si="58"/>
        <v/>
      </c>
      <c r="H463" s="12" t="str">
        <f>IF(G463="","",IF('Loan Terms'!$C$13="Fixed",(E463="Yes")*J463+(E463="No")*'Loan Terms'!$H$19,PMT(F463/12,'Loan Terms'!$G$11-B463+1,-G463)))</f>
        <v/>
      </c>
      <c r="I463" s="12" t="str">
        <f>IF(B463="","",IF(B463='Loan Terms'!$H$9*12,G463,H463-J463))</f>
        <v/>
      </c>
      <c r="J463" s="130" t="str">
        <f>IF(B463="","",IF('Loan Terms'!$H$15="Actual/365",F463*(C463/365),F463*(C463/360))*G463)</f>
        <v/>
      </c>
      <c r="K463" s="12" t="str">
        <f t="shared" si="55"/>
        <v/>
      </c>
      <c r="L463" s="130" t="str">
        <f t="shared" si="59"/>
        <v/>
      </c>
      <c r="N463" s="14" t="str">
        <f t="shared" si="60"/>
        <v/>
      </c>
      <c r="S463" s="217" t="str">
        <f t="shared" si="56"/>
        <v/>
      </c>
      <c r="T463" s="218" t="str">
        <f t="shared" si="54"/>
        <v/>
      </c>
      <c r="U463" s="219" t="str">
        <f>IF(S463="","",'Loan Terms'!$H$14)</f>
        <v/>
      </c>
      <c r="V463" s="220" t="str">
        <f t="shared" si="61"/>
        <v/>
      </c>
    </row>
    <row r="464" spans="2:22" ht="14.25" customHeight="1" x14ac:dyDescent="0.2">
      <c r="B464" s="126" t="str">
        <f>IF(OR(B463="",B463='Loan Terms'!$H$9*12),"",B463+1)</f>
        <v/>
      </c>
      <c r="C464" s="128" t="str">
        <f>IF(B464="","",IF('Loan Terms'!$H$15="30/360",30,D464-D463))</f>
        <v/>
      </c>
      <c r="D464" s="129" t="str">
        <f t="shared" si="57"/>
        <v/>
      </c>
      <c r="E464" s="129" t="str">
        <f>IF(B464="","",IF(B464&lt;='Loan Terms'!$G$10,"Yes","No"))</f>
        <v/>
      </c>
      <c r="F464" s="101" t="str">
        <f>IF(B464="","",IF('Loan Terms'!$C$13="Fixed",'Loan Terms'!$H$17,V464))</f>
        <v/>
      </c>
      <c r="G464" s="12" t="str">
        <f t="shared" si="58"/>
        <v/>
      </c>
      <c r="H464" s="12" t="str">
        <f>IF(G464="","",IF('Loan Terms'!$C$13="Fixed",(E464="Yes")*J464+(E464="No")*'Loan Terms'!$H$19,PMT(F464/12,'Loan Terms'!$G$11-B464+1,-G464)))</f>
        <v/>
      </c>
      <c r="I464" s="12" t="str">
        <f>IF(B464="","",IF(B464='Loan Terms'!$H$9*12,G464,H464-J464))</f>
        <v/>
      </c>
      <c r="J464" s="130" t="str">
        <f>IF(B464="","",IF('Loan Terms'!$H$15="Actual/365",F464*(C464/365),F464*(C464/360))*G464)</f>
        <v/>
      </c>
      <c r="K464" s="12" t="str">
        <f t="shared" si="55"/>
        <v/>
      </c>
      <c r="L464" s="130" t="str">
        <f t="shared" si="59"/>
        <v/>
      </c>
      <c r="N464" s="14" t="str">
        <f t="shared" si="60"/>
        <v/>
      </c>
      <c r="S464" s="217" t="str">
        <f t="shared" si="56"/>
        <v/>
      </c>
      <c r="T464" s="218" t="str">
        <f t="shared" si="54"/>
        <v/>
      </c>
      <c r="U464" s="219" t="str">
        <f>IF(S464="","",'Loan Terms'!$H$14)</f>
        <v/>
      </c>
      <c r="V464" s="220" t="str">
        <f t="shared" si="61"/>
        <v/>
      </c>
    </row>
    <row r="465" spans="2:22" ht="14.25" customHeight="1" x14ac:dyDescent="0.2">
      <c r="B465" s="126" t="str">
        <f>IF(OR(B464="",B464='Loan Terms'!$H$9*12),"",B464+1)</f>
        <v/>
      </c>
      <c r="C465" s="128" t="str">
        <f>IF(B465="","",IF('Loan Terms'!$H$15="30/360",30,D465-D464))</f>
        <v/>
      </c>
      <c r="D465" s="129" t="str">
        <f t="shared" si="57"/>
        <v/>
      </c>
      <c r="E465" s="129" t="str">
        <f>IF(B465="","",IF(B465&lt;='Loan Terms'!$G$10,"Yes","No"))</f>
        <v/>
      </c>
      <c r="F465" s="101" t="str">
        <f>IF(B465="","",IF('Loan Terms'!$C$13="Fixed",'Loan Terms'!$H$17,V465))</f>
        <v/>
      </c>
      <c r="G465" s="12" t="str">
        <f t="shared" si="58"/>
        <v/>
      </c>
      <c r="H465" s="12" t="str">
        <f>IF(G465="","",IF('Loan Terms'!$C$13="Fixed",(E465="Yes")*J465+(E465="No")*'Loan Terms'!$H$19,PMT(F465/12,'Loan Terms'!$G$11-B465+1,-G465)))</f>
        <v/>
      </c>
      <c r="I465" s="12" t="str">
        <f>IF(B465="","",IF(B465='Loan Terms'!$H$9*12,G465,H465-J465))</f>
        <v/>
      </c>
      <c r="J465" s="130" t="str">
        <f>IF(B465="","",IF('Loan Terms'!$H$15="Actual/365",F465*(C465/365),F465*(C465/360))*G465)</f>
        <v/>
      </c>
      <c r="K465" s="12" t="str">
        <f t="shared" si="55"/>
        <v/>
      </c>
      <c r="L465" s="130" t="str">
        <f t="shared" si="59"/>
        <v/>
      </c>
      <c r="N465" s="14" t="str">
        <f t="shared" si="60"/>
        <v/>
      </c>
      <c r="S465" s="217" t="str">
        <f t="shared" si="56"/>
        <v/>
      </c>
      <c r="T465" s="218" t="str">
        <f t="shared" si="54"/>
        <v/>
      </c>
      <c r="U465" s="219" t="str">
        <f>IF(S465="","",'Loan Terms'!$H$14)</f>
        <v/>
      </c>
      <c r="V465" s="220" t="str">
        <f t="shared" si="61"/>
        <v/>
      </c>
    </row>
    <row r="466" spans="2:22" ht="14.25" customHeight="1" x14ac:dyDescent="0.2">
      <c r="B466" s="126" t="str">
        <f>IF(OR(B465="",B465='Loan Terms'!$H$9*12),"",B465+1)</f>
        <v/>
      </c>
      <c r="C466" s="128" t="str">
        <f>IF(B466="","",IF('Loan Terms'!$H$15="30/360",30,D466-D465))</f>
        <v/>
      </c>
      <c r="D466" s="129" t="str">
        <f t="shared" si="57"/>
        <v/>
      </c>
      <c r="E466" s="129" t="str">
        <f>IF(B466="","",IF(B466&lt;='Loan Terms'!$G$10,"Yes","No"))</f>
        <v/>
      </c>
      <c r="F466" s="101" t="str">
        <f>IF(B466="","",IF('Loan Terms'!$C$13="Fixed",'Loan Terms'!$H$17,V466))</f>
        <v/>
      </c>
      <c r="G466" s="12" t="str">
        <f t="shared" si="58"/>
        <v/>
      </c>
      <c r="H466" s="12" t="str">
        <f>IF(G466="","",IF('Loan Terms'!$C$13="Fixed",(E466="Yes")*J466+(E466="No")*'Loan Terms'!$H$19,PMT(F466/12,'Loan Terms'!$G$11-B466+1,-G466)))</f>
        <v/>
      </c>
      <c r="I466" s="12" t="str">
        <f>IF(B466="","",IF(B466='Loan Terms'!$H$9*12,G466,H466-J466))</f>
        <v/>
      </c>
      <c r="J466" s="130" t="str">
        <f>IF(B466="","",IF('Loan Terms'!$H$15="Actual/365",F466*(C466/365),F466*(C466/360))*G466)</f>
        <v/>
      </c>
      <c r="K466" s="12" t="str">
        <f t="shared" si="55"/>
        <v/>
      </c>
      <c r="L466" s="130" t="str">
        <f t="shared" si="59"/>
        <v/>
      </c>
      <c r="N466" s="14" t="str">
        <f t="shared" si="60"/>
        <v/>
      </c>
      <c r="S466" s="217" t="str">
        <f t="shared" si="56"/>
        <v/>
      </c>
      <c r="T466" s="218" t="str">
        <f t="shared" si="54"/>
        <v/>
      </c>
      <c r="U466" s="219" t="str">
        <f>IF(S466="","",'Loan Terms'!$H$14)</f>
        <v/>
      </c>
      <c r="V466" s="220" t="str">
        <f t="shared" si="61"/>
        <v/>
      </c>
    </row>
    <row r="467" spans="2:22" ht="14.25" customHeight="1" x14ac:dyDescent="0.2">
      <c r="B467" s="126" t="str">
        <f>IF(OR(B466="",B466='Loan Terms'!$H$9*12),"",B466+1)</f>
        <v/>
      </c>
      <c r="C467" s="128" t="str">
        <f>IF(B467="","",IF('Loan Terms'!$H$15="30/360",30,D467-D466))</f>
        <v/>
      </c>
      <c r="D467" s="129" t="str">
        <f t="shared" si="57"/>
        <v/>
      </c>
      <c r="E467" s="129" t="str">
        <f>IF(B467="","",IF(B467&lt;='Loan Terms'!$G$10,"Yes","No"))</f>
        <v/>
      </c>
      <c r="F467" s="101" t="str">
        <f>IF(B467="","",IF('Loan Terms'!$C$13="Fixed",'Loan Terms'!$H$17,V467))</f>
        <v/>
      </c>
      <c r="G467" s="12" t="str">
        <f t="shared" si="58"/>
        <v/>
      </c>
      <c r="H467" s="12" t="str">
        <f>IF(G467="","",IF('Loan Terms'!$C$13="Fixed",(E467="Yes")*J467+(E467="No")*'Loan Terms'!$H$19,PMT(F467/12,'Loan Terms'!$G$11-B467+1,-G467)))</f>
        <v/>
      </c>
      <c r="I467" s="12" t="str">
        <f>IF(B467="","",IF(B467='Loan Terms'!$H$9*12,G467,H467-J467))</f>
        <v/>
      </c>
      <c r="J467" s="130" t="str">
        <f>IF(B467="","",IF('Loan Terms'!$H$15="Actual/365",F467*(C467/365),F467*(C467/360))*G467)</f>
        <v/>
      </c>
      <c r="K467" s="12" t="str">
        <f t="shared" si="55"/>
        <v/>
      </c>
      <c r="L467" s="130" t="str">
        <f t="shared" si="59"/>
        <v/>
      </c>
      <c r="N467" s="14" t="str">
        <f t="shared" si="60"/>
        <v/>
      </c>
      <c r="S467" s="217" t="str">
        <f t="shared" si="56"/>
        <v/>
      </c>
      <c r="T467" s="218" t="str">
        <f t="shared" si="54"/>
        <v/>
      </c>
      <c r="U467" s="219" t="str">
        <f>IF(S467="","",'Loan Terms'!$H$14)</f>
        <v/>
      </c>
      <c r="V467" s="220" t="str">
        <f t="shared" si="61"/>
        <v/>
      </c>
    </row>
    <row r="468" spans="2:22" ht="14.25" customHeight="1" x14ac:dyDescent="0.2">
      <c r="B468" s="126" t="str">
        <f>IF(OR(B467="",B467='Loan Terms'!$H$9*12),"",B467+1)</f>
        <v/>
      </c>
      <c r="C468" s="128" t="str">
        <f>IF(B468="","",IF('Loan Terms'!$H$15="30/360",30,D468-D467))</f>
        <v/>
      </c>
      <c r="D468" s="129" t="str">
        <f t="shared" si="57"/>
        <v/>
      </c>
      <c r="E468" s="129" t="str">
        <f>IF(B468="","",IF(B468&lt;='Loan Terms'!$G$10,"Yes","No"))</f>
        <v/>
      </c>
      <c r="F468" s="101" t="str">
        <f>IF(B468="","",IF('Loan Terms'!$C$13="Fixed",'Loan Terms'!$H$17,V468))</f>
        <v/>
      </c>
      <c r="G468" s="12" t="str">
        <f t="shared" si="58"/>
        <v/>
      </c>
      <c r="H468" s="12" t="str">
        <f>IF(G468="","",IF('Loan Terms'!$C$13="Fixed",(E468="Yes")*J468+(E468="No")*'Loan Terms'!$H$19,PMT(F468/12,'Loan Terms'!$G$11-B468+1,-G468)))</f>
        <v/>
      </c>
      <c r="I468" s="12" t="str">
        <f>IF(B468="","",IF(B468='Loan Terms'!$H$9*12,G468,H468-J468))</f>
        <v/>
      </c>
      <c r="J468" s="130" t="str">
        <f>IF(B468="","",IF('Loan Terms'!$H$15="Actual/365",F468*(C468/365),F468*(C468/360))*G468)</f>
        <v/>
      </c>
      <c r="K468" s="12" t="str">
        <f t="shared" si="55"/>
        <v/>
      </c>
      <c r="L468" s="130" t="str">
        <f t="shared" si="59"/>
        <v/>
      </c>
      <c r="N468" s="14" t="str">
        <f t="shared" si="60"/>
        <v/>
      </c>
      <c r="S468" s="217" t="str">
        <f t="shared" si="56"/>
        <v/>
      </c>
      <c r="T468" s="218" t="str">
        <f t="shared" si="54"/>
        <v/>
      </c>
      <c r="U468" s="219" t="str">
        <f>IF(S468="","",'Loan Terms'!$H$14)</f>
        <v/>
      </c>
      <c r="V468" s="220" t="str">
        <f t="shared" si="61"/>
        <v/>
      </c>
    </row>
    <row r="469" spans="2:22" ht="14.25" customHeight="1" x14ac:dyDescent="0.2">
      <c r="B469" s="126" t="str">
        <f>IF(OR(B468="",B468='Loan Terms'!$H$9*12),"",B468+1)</f>
        <v/>
      </c>
      <c r="C469" s="128" t="str">
        <f>IF(B469="","",IF('Loan Terms'!$H$15="30/360",30,D469-D468))</f>
        <v/>
      </c>
      <c r="D469" s="129" t="str">
        <f t="shared" si="57"/>
        <v/>
      </c>
      <c r="E469" s="129" t="str">
        <f>IF(B469="","",IF(B469&lt;='Loan Terms'!$G$10,"Yes","No"))</f>
        <v/>
      </c>
      <c r="F469" s="101" t="str">
        <f>IF(B469="","",IF('Loan Terms'!$C$13="Fixed",'Loan Terms'!$H$17,V469))</f>
        <v/>
      </c>
      <c r="G469" s="12" t="str">
        <f t="shared" si="58"/>
        <v/>
      </c>
      <c r="H469" s="12" t="str">
        <f>IF(G469="","",IF('Loan Terms'!$C$13="Fixed",(E469="Yes")*J469+(E469="No")*'Loan Terms'!$H$19,PMT(F469/12,'Loan Terms'!$G$11-B469+1,-G469)))</f>
        <v/>
      </c>
      <c r="I469" s="12" t="str">
        <f>IF(B469="","",IF(B469='Loan Terms'!$H$9*12,G469,H469-J469))</f>
        <v/>
      </c>
      <c r="J469" s="130" t="str">
        <f>IF(B469="","",IF('Loan Terms'!$H$15="Actual/365",F469*(C469/365),F469*(C469/360))*G469)</f>
        <v/>
      </c>
      <c r="K469" s="12" t="str">
        <f t="shared" si="55"/>
        <v/>
      </c>
      <c r="L469" s="130" t="str">
        <f t="shared" si="59"/>
        <v/>
      </c>
      <c r="N469" s="14" t="str">
        <f t="shared" si="60"/>
        <v/>
      </c>
      <c r="S469" s="217" t="str">
        <f t="shared" si="56"/>
        <v/>
      </c>
      <c r="T469" s="218" t="str">
        <f t="shared" si="54"/>
        <v/>
      </c>
      <c r="U469" s="219" t="str">
        <f>IF(S469="","",'Loan Terms'!$H$14)</f>
        <v/>
      </c>
      <c r="V469" s="220" t="str">
        <f t="shared" si="61"/>
        <v/>
      </c>
    </row>
    <row r="470" spans="2:22" ht="14.25" customHeight="1" x14ac:dyDescent="0.2">
      <c r="B470" s="126" t="str">
        <f>IF(OR(B469="",B469='Loan Terms'!$H$9*12),"",B469+1)</f>
        <v/>
      </c>
      <c r="C470" s="128" t="str">
        <f>IF(B470="","",IF('Loan Terms'!$H$15="30/360",30,D470-D469))</f>
        <v/>
      </c>
      <c r="D470" s="129" t="str">
        <f t="shared" si="57"/>
        <v/>
      </c>
      <c r="E470" s="129" t="str">
        <f>IF(B470="","",IF(B470&lt;='Loan Terms'!$G$10,"Yes","No"))</f>
        <v/>
      </c>
      <c r="F470" s="101" t="str">
        <f>IF(B470="","",IF('Loan Terms'!$C$13="Fixed",'Loan Terms'!$H$17,V470))</f>
        <v/>
      </c>
      <c r="G470" s="12" t="str">
        <f t="shared" si="58"/>
        <v/>
      </c>
      <c r="H470" s="12" t="str">
        <f>IF(G470="","",IF('Loan Terms'!$C$13="Fixed",(E470="Yes")*J470+(E470="No")*'Loan Terms'!$H$19,PMT(F470/12,'Loan Terms'!$G$11-B470+1,-G470)))</f>
        <v/>
      </c>
      <c r="I470" s="12" t="str">
        <f>IF(B470="","",IF(B470='Loan Terms'!$H$9*12,G470,H470-J470))</f>
        <v/>
      </c>
      <c r="J470" s="130" t="str">
        <f>IF(B470="","",IF('Loan Terms'!$H$15="Actual/365",F470*(C470/365),F470*(C470/360))*G470)</f>
        <v/>
      </c>
      <c r="K470" s="12" t="str">
        <f t="shared" si="55"/>
        <v/>
      </c>
      <c r="L470" s="130" t="str">
        <f t="shared" si="59"/>
        <v/>
      </c>
      <c r="N470" s="14" t="str">
        <f t="shared" si="60"/>
        <v/>
      </c>
      <c r="S470" s="217" t="str">
        <f t="shared" si="56"/>
        <v/>
      </c>
      <c r="T470" s="218" t="str">
        <f t="shared" si="54"/>
        <v/>
      </c>
      <c r="U470" s="219" t="str">
        <f>IF(S470="","",'Loan Terms'!$H$14)</f>
        <v/>
      </c>
      <c r="V470" s="220" t="str">
        <f t="shared" si="61"/>
        <v/>
      </c>
    </row>
    <row r="471" spans="2:22" ht="14.25" customHeight="1" x14ac:dyDescent="0.2">
      <c r="B471" s="126" t="str">
        <f>IF(OR(B470="",B470='Loan Terms'!$H$9*12),"",B470+1)</f>
        <v/>
      </c>
      <c r="C471" s="128" t="str">
        <f>IF(B471="","",IF('Loan Terms'!$H$15="30/360",30,D471-D470))</f>
        <v/>
      </c>
      <c r="D471" s="129" t="str">
        <f t="shared" si="57"/>
        <v/>
      </c>
      <c r="E471" s="129" t="str">
        <f>IF(B471="","",IF(B471&lt;='Loan Terms'!$G$10,"Yes","No"))</f>
        <v/>
      </c>
      <c r="F471" s="101" t="str">
        <f>IF(B471="","",IF('Loan Terms'!$C$13="Fixed",'Loan Terms'!$H$17,V471))</f>
        <v/>
      </c>
      <c r="G471" s="12" t="str">
        <f t="shared" si="58"/>
        <v/>
      </c>
      <c r="H471" s="12" t="str">
        <f>IF(G471="","",IF('Loan Terms'!$C$13="Fixed",(E471="Yes")*J471+(E471="No")*'Loan Terms'!$H$19,PMT(F471/12,'Loan Terms'!$G$11-B471+1,-G471)))</f>
        <v/>
      </c>
      <c r="I471" s="12" t="str">
        <f>IF(B471="","",IF(B471='Loan Terms'!$H$9*12,G471,H471-J471))</f>
        <v/>
      </c>
      <c r="J471" s="130" t="str">
        <f>IF(B471="","",IF('Loan Terms'!$H$15="Actual/365",F471*(C471/365),F471*(C471/360))*G471)</f>
        <v/>
      </c>
      <c r="K471" s="12" t="str">
        <f t="shared" si="55"/>
        <v/>
      </c>
      <c r="L471" s="130" t="str">
        <f t="shared" si="59"/>
        <v/>
      </c>
      <c r="N471" s="14" t="str">
        <f t="shared" si="60"/>
        <v/>
      </c>
      <c r="S471" s="217" t="str">
        <f t="shared" si="56"/>
        <v/>
      </c>
      <c r="T471" s="218" t="str">
        <f t="shared" si="54"/>
        <v/>
      </c>
      <c r="U471" s="219" t="str">
        <f>IF(S471="","",'Loan Terms'!$H$14)</f>
        <v/>
      </c>
      <c r="V471" s="220" t="str">
        <f t="shared" si="61"/>
        <v/>
      </c>
    </row>
    <row r="472" spans="2:22" ht="14.25" customHeight="1" x14ac:dyDescent="0.2">
      <c r="B472" s="126" t="str">
        <f>IF(OR(B471="",B471='Loan Terms'!$H$9*12),"",B471+1)</f>
        <v/>
      </c>
      <c r="C472" s="128" t="str">
        <f>IF(B472="","",IF('Loan Terms'!$H$15="30/360",30,D472-D471))</f>
        <v/>
      </c>
      <c r="D472" s="129" t="str">
        <f t="shared" si="57"/>
        <v/>
      </c>
      <c r="E472" s="129" t="str">
        <f>IF(B472="","",IF(B472&lt;='Loan Terms'!$G$10,"Yes","No"))</f>
        <v/>
      </c>
      <c r="F472" s="101" t="str">
        <f>IF(B472="","",IF('Loan Terms'!$C$13="Fixed",'Loan Terms'!$H$17,V472))</f>
        <v/>
      </c>
      <c r="G472" s="12" t="str">
        <f t="shared" si="58"/>
        <v/>
      </c>
      <c r="H472" s="12" t="str">
        <f>IF(G472="","",IF('Loan Terms'!$C$13="Fixed",(E472="Yes")*J472+(E472="No")*'Loan Terms'!$H$19,PMT(F472/12,'Loan Terms'!$G$11-B472+1,-G472)))</f>
        <v/>
      </c>
      <c r="I472" s="12" t="str">
        <f>IF(B472="","",IF(B472='Loan Terms'!$H$9*12,G472,H472-J472))</f>
        <v/>
      </c>
      <c r="J472" s="130" t="str">
        <f>IF(B472="","",IF('Loan Terms'!$H$15="Actual/365",F472*(C472/365),F472*(C472/360))*G472)</f>
        <v/>
      </c>
      <c r="K472" s="12" t="str">
        <f t="shared" si="55"/>
        <v/>
      </c>
      <c r="L472" s="130" t="str">
        <f t="shared" si="59"/>
        <v/>
      </c>
      <c r="N472" s="14" t="str">
        <f t="shared" si="60"/>
        <v/>
      </c>
      <c r="S472" s="217" t="str">
        <f t="shared" si="56"/>
        <v/>
      </c>
      <c r="T472" s="218" t="str">
        <f t="shared" si="54"/>
        <v/>
      </c>
      <c r="U472" s="219" t="str">
        <f>IF(S472="","",'Loan Terms'!$H$14)</f>
        <v/>
      </c>
      <c r="V472" s="220" t="str">
        <f t="shared" si="61"/>
        <v/>
      </c>
    </row>
    <row r="473" spans="2:22" ht="14.25" customHeight="1" x14ac:dyDescent="0.2">
      <c r="B473" s="126" t="str">
        <f>IF(OR(B472="",B472='Loan Terms'!$H$9*12),"",B472+1)</f>
        <v/>
      </c>
      <c r="C473" s="128" t="str">
        <f>IF(B473="","",IF('Loan Terms'!$H$15="30/360",30,D473-D472))</f>
        <v/>
      </c>
      <c r="D473" s="129" t="str">
        <f t="shared" si="57"/>
        <v/>
      </c>
      <c r="E473" s="129" t="str">
        <f>IF(B473="","",IF(B473&lt;='Loan Terms'!$G$10,"Yes","No"))</f>
        <v/>
      </c>
      <c r="F473" s="101" t="str">
        <f>IF(B473="","",IF('Loan Terms'!$C$13="Fixed",'Loan Terms'!$H$17,V473))</f>
        <v/>
      </c>
      <c r="G473" s="12" t="str">
        <f t="shared" si="58"/>
        <v/>
      </c>
      <c r="H473" s="12" t="str">
        <f>IF(G473="","",IF('Loan Terms'!$C$13="Fixed",(E473="Yes")*J473+(E473="No")*'Loan Terms'!$H$19,PMT(F473/12,'Loan Terms'!$G$11-B473+1,-G473)))</f>
        <v/>
      </c>
      <c r="I473" s="12" t="str">
        <f>IF(B473="","",IF(B473='Loan Terms'!$H$9*12,G473,H473-J473))</f>
        <v/>
      </c>
      <c r="J473" s="130" t="str">
        <f>IF(B473="","",IF('Loan Terms'!$H$15="Actual/365",F473*(C473/365),F473*(C473/360))*G473)</f>
        <v/>
      </c>
      <c r="K473" s="12" t="str">
        <f t="shared" si="55"/>
        <v/>
      </c>
      <c r="L473" s="130" t="str">
        <f t="shared" si="59"/>
        <v/>
      </c>
      <c r="N473" s="14" t="str">
        <f t="shared" si="60"/>
        <v/>
      </c>
      <c r="S473" s="217" t="str">
        <f t="shared" si="56"/>
        <v/>
      </c>
      <c r="T473" s="218" t="str">
        <f t="shared" si="54"/>
        <v/>
      </c>
      <c r="U473" s="219" t="str">
        <f>IF(S473="","",'Loan Terms'!$H$14)</f>
        <v/>
      </c>
      <c r="V473" s="220" t="str">
        <f t="shared" si="61"/>
        <v/>
      </c>
    </row>
    <row r="474" spans="2:22" ht="14.25" customHeight="1" x14ac:dyDescent="0.2">
      <c r="B474" s="126" t="str">
        <f>IF(OR(B473="",B473='Loan Terms'!$H$9*12),"",B473+1)</f>
        <v/>
      </c>
      <c r="C474" s="128" t="str">
        <f>IF(B474="","",IF('Loan Terms'!$H$15="30/360",30,D474-D473))</f>
        <v/>
      </c>
      <c r="D474" s="129" t="str">
        <f t="shared" si="57"/>
        <v/>
      </c>
      <c r="E474" s="129" t="str">
        <f>IF(B474="","",IF(B474&lt;='Loan Terms'!$G$10,"Yes","No"))</f>
        <v/>
      </c>
      <c r="F474" s="101" t="str">
        <f>IF(B474="","",IF('Loan Terms'!$C$13="Fixed",'Loan Terms'!$H$17,V474))</f>
        <v/>
      </c>
      <c r="G474" s="12" t="str">
        <f t="shared" si="58"/>
        <v/>
      </c>
      <c r="H474" s="12" t="str">
        <f>IF(G474="","",IF('Loan Terms'!$C$13="Fixed",(E474="Yes")*J474+(E474="No")*'Loan Terms'!$H$19,PMT(F474/12,'Loan Terms'!$G$11-B474+1,-G474)))</f>
        <v/>
      </c>
      <c r="I474" s="12" t="str">
        <f>IF(B474="","",IF(B474='Loan Terms'!$H$9*12,G474,H474-J474))</f>
        <v/>
      </c>
      <c r="J474" s="130" t="str">
        <f>IF(B474="","",IF('Loan Terms'!$H$15="Actual/365",F474*(C474/365),F474*(C474/360))*G474)</f>
        <v/>
      </c>
      <c r="K474" s="12" t="str">
        <f t="shared" si="55"/>
        <v/>
      </c>
      <c r="L474" s="130" t="str">
        <f t="shared" si="59"/>
        <v/>
      </c>
      <c r="N474" s="14" t="str">
        <f t="shared" si="60"/>
        <v/>
      </c>
      <c r="S474" s="217" t="str">
        <f t="shared" si="56"/>
        <v/>
      </c>
      <c r="T474" s="218" t="str">
        <f t="shared" si="54"/>
        <v/>
      </c>
      <c r="U474" s="219" t="str">
        <f>IF(S474="","",'Loan Terms'!$H$14)</f>
        <v/>
      </c>
      <c r="V474" s="220" t="str">
        <f t="shared" si="61"/>
        <v/>
      </c>
    </row>
    <row r="475" spans="2:22" ht="14.25" customHeight="1" x14ac:dyDescent="0.2">
      <c r="B475" s="126" t="str">
        <f>IF(OR(B474="",B474='Loan Terms'!$H$9*12),"",B474+1)</f>
        <v/>
      </c>
      <c r="C475" s="128" t="str">
        <f>IF(B475="","",IF('Loan Terms'!$H$15="30/360",30,D475-D474))</f>
        <v/>
      </c>
      <c r="D475" s="129" t="str">
        <f t="shared" si="57"/>
        <v/>
      </c>
      <c r="E475" s="129" t="str">
        <f>IF(B475="","",IF(B475&lt;='Loan Terms'!$G$10,"Yes","No"))</f>
        <v/>
      </c>
      <c r="F475" s="101" t="str">
        <f>IF(B475="","",IF('Loan Terms'!$C$13="Fixed",'Loan Terms'!$H$17,V475))</f>
        <v/>
      </c>
      <c r="G475" s="12" t="str">
        <f t="shared" si="58"/>
        <v/>
      </c>
      <c r="H475" s="12" t="str">
        <f>IF(G475="","",IF('Loan Terms'!$C$13="Fixed",(E475="Yes")*J475+(E475="No")*'Loan Terms'!$H$19,PMT(F475/12,'Loan Terms'!$G$11-B475+1,-G475)))</f>
        <v/>
      </c>
      <c r="I475" s="12" t="str">
        <f>IF(B475="","",IF(B475='Loan Terms'!$H$9*12,G475,H475-J475))</f>
        <v/>
      </c>
      <c r="J475" s="130" t="str">
        <f>IF(B475="","",IF('Loan Terms'!$H$15="Actual/365",F475*(C475/365),F475*(C475/360))*G475)</f>
        <v/>
      </c>
      <c r="K475" s="12" t="str">
        <f t="shared" si="55"/>
        <v/>
      </c>
      <c r="L475" s="130" t="str">
        <f t="shared" si="59"/>
        <v/>
      </c>
      <c r="N475" s="14" t="str">
        <f t="shared" si="60"/>
        <v/>
      </c>
      <c r="S475" s="217" t="str">
        <f t="shared" si="56"/>
        <v/>
      </c>
      <c r="T475" s="218" t="str">
        <f t="shared" si="54"/>
        <v/>
      </c>
      <c r="U475" s="219" t="str">
        <f>IF(S475="","",'Loan Terms'!$H$14)</f>
        <v/>
      </c>
      <c r="V475" s="220" t="str">
        <f t="shared" si="61"/>
        <v/>
      </c>
    </row>
    <row r="476" spans="2:22" ht="14.25" customHeight="1" x14ac:dyDescent="0.2">
      <c r="B476" s="126" t="str">
        <f>IF(OR(B475="",B475='Loan Terms'!$H$9*12),"",B475+1)</f>
        <v/>
      </c>
      <c r="C476" s="128" t="str">
        <f>IF(B476="","",IF('Loan Terms'!$H$15="30/360",30,D476-D475))</f>
        <v/>
      </c>
      <c r="D476" s="129" t="str">
        <f t="shared" si="57"/>
        <v/>
      </c>
      <c r="E476" s="129" t="str">
        <f>IF(B476="","",IF(B476&lt;='Loan Terms'!$G$10,"Yes","No"))</f>
        <v/>
      </c>
      <c r="F476" s="101" t="str">
        <f>IF(B476="","",IF('Loan Terms'!$C$13="Fixed",'Loan Terms'!$H$17,V476))</f>
        <v/>
      </c>
      <c r="G476" s="12" t="str">
        <f t="shared" si="58"/>
        <v/>
      </c>
      <c r="H476" s="12" t="str">
        <f>IF(G476="","",IF('Loan Terms'!$C$13="Fixed",(E476="Yes")*J476+(E476="No")*'Loan Terms'!$H$19,PMT(F476/12,'Loan Terms'!$G$11-B476+1,-G476)))</f>
        <v/>
      </c>
      <c r="I476" s="12" t="str">
        <f>IF(B476="","",IF(B476='Loan Terms'!$H$9*12,G476,H476-J476))</f>
        <v/>
      </c>
      <c r="J476" s="130" t="str">
        <f>IF(B476="","",IF('Loan Terms'!$H$15="Actual/365",F476*(C476/365),F476*(C476/360))*G476)</f>
        <v/>
      </c>
      <c r="K476" s="12" t="str">
        <f t="shared" si="55"/>
        <v/>
      </c>
      <c r="L476" s="130" t="str">
        <f t="shared" si="59"/>
        <v/>
      </c>
      <c r="N476" s="14" t="str">
        <f t="shared" si="60"/>
        <v/>
      </c>
      <c r="S476" s="217" t="str">
        <f t="shared" si="56"/>
        <v/>
      </c>
      <c r="T476" s="218" t="str">
        <f t="shared" si="54"/>
        <v/>
      </c>
      <c r="U476" s="219" t="str">
        <f>IF(S476="","",'Loan Terms'!$H$14)</f>
        <v/>
      </c>
      <c r="V476" s="220" t="str">
        <f t="shared" si="61"/>
        <v/>
      </c>
    </row>
    <row r="477" spans="2:22" ht="14.25" customHeight="1" x14ac:dyDescent="0.2">
      <c r="B477" s="126" t="str">
        <f>IF(OR(B476="",B476='Loan Terms'!$H$9*12),"",B476+1)</f>
        <v/>
      </c>
      <c r="C477" s="128" t="str">
        <f>IF(B477="","",IF('Loan Terms'!$H$15="30/360",30,D477-D476))</f>
        <v/>
      </c>
      <c r="D477" s="129" t="str">
        <f t="shared" si="57"/>
        <v/>
      </c>
      <c r="E477" s="129" t="str">
        <f>IF(B477="","",IF(B477&lt;='Loan Terms'!$G$10,"Yes","No"))</f>
        <v/>
      </c>
      <c r="F477" s="101" t="str">
        <f>IF(B477="","",IF('Loan Terms'!$C$13="Fixed",'Loan Terms'!$H$17,V477))</f>
        <v/>
      </c>
      <c r="G477" s="12" t="str">
        <f t="shared" si="58"/>
        <v/>
      </c>
      <c r="H477" s="12" t="str">
        <f>IF(G477="","",IF('Loan Terms'!$C$13="Fixed",(E477="Yes")*J477+(E477="No")*'Loan Terms'!$H$19,PMT(F477/12,'Loan Terms'!$G$11-B477+1,-G477)))</f>
        <v/>
      </c>
      <c r="I477" s="12" t="str">
        <f>IF(B477="","",IF(B477='Loan Terms'!$H$9*12,G477,H477-J477))</f>
        <v/>
      </c>
      <c r="J477" s="130" t="str">
        <f>IF(B477="","",IF('Loan Terms'!$H$15="Actual/365",F477*(C477/365),F477*(C477/360))*G477)</f>
        <v/>
      </c>
      <c r="K477" s="12" t="str">
        <f t="shared" si="55"/>
        <v/>
      </c>
      <c r="L477" s="130" t="str">
        <f t="shared" si="59"/>
        <v/>
      </c>
      <c r="N477" s="14" t="str">
        <f t="shared" si="60"/>
        <v/>
      </c>
      <c r="S477" s="217" t="str">
        <f t="shared" si="56"/>
        <v/>
      </c>
      <c r="T477" s="218" t="str">
        <f t="shared" si="54"/>
        <v/>
      </c>
      <c r="U477" s="219" t="str">
        <f>IF(S477="","",'Loan Terms'!$H$14)</f>
        <v/>
      </c>
      <c r="V477" s="220" t="str">
        <f t="shared" si="61"/>
        <v/>
      </c>
    </row>
    <row r="478" spans="2:22" ht="14.25" customHeight="1" x14ac:dyDescent="0.2">
      <c r="B478" s="126" t="str">
        <f>IF(OR(B477="",B477='Loan Terms'!$H$9*12),"",B477+1)</f>
        <v/>
      </c>
      <c r="C478" s="128" t="str">
        <f>IF(B478="","",IF('Loan Terms'!$H$15="30/360",30,D478-D477))</f>
        <v/>
      </c>
      <c r="D478" s="129" t="str">
        <f t="shared" si="57"/>
        <v/>
      </c>
      <c r="E478" s="129" t="str">
        <f>IF(B478="","",IF(B478&lt;='Loan Terms'!$G$10,"Yes","No"))</f>
        <v/>
      </c>
      <c r="F478" s="101" t="str">
        <f>IF(B478="","",IF('Loan Terms'!$C$13="Fixed",'Loan Terms'!$H$17,V478))</f>
        <v/>
      </c>
      <c r="G478" s="12" t="str">
        <f t="shared" si="58"/>
        <v/>
      </c>
      <c r="H478" s="12" t="str">
        <f>IF(G478="","",IF('Loan Terms'!$C$13="Fixed",(E478="Yes")*J478+(E478="No")*'Loan Terms'!$H$19,PMT(F478/12,'Loan Terms'!$G$11-B478+1,-G478)))</f>
        <v/>
      </c>
      <c r="I478" s="12" t="str">
        <f>IF(B478="","",IF(B478='Loan Terms'!$H$9*12,G478,H478-J478))</f>
        <v/>
      </c>
      <c r="J478" s="130" t="str">
        <f>IF(B478="","",IF('Loan Terms'!$H$15="Actual/365",F478*(C478/365),F478*(C478/360))*G478)</f>
        <v/>
      </c>
      <c r="K478" s="12" t="str">
        <f t="shared" si="55"/>
        <v/>
      </c>
      <c r="L478" s="130" t="str">
        <f t="shared" si="59"/>
        <v/>
      </c>
      <c r="N478" s="14" t="str">
        <f t="shared" si="60"/>
        <v/>
      </c>
      <c r="S478" s="217" t="str">
        <f t="shared" si="56"/>
        <v/>
      </c>
      <c r="T478" s="218" t="str">
        <f t="shared" si="54"/>
        <v/>
      </c>
      <c r="U478" s="219" t="str">
        <f>IF(S478="","",'Loan Terms'!$H$14)</f>
        <v/>
      </c>
      <c r="V478" s="220" t="str">
        <f t="shared" si="61"/>
        <v/>
      </c>
    </row>
    <row r="479" spans="2:22" ht="14.25" customHeight="1" x14ac:dyDescent="0.2">
      <c r="B479" s="126" t="str">
        <f>IF(OR(B478="",B478='Loan Terms'!$H$9*12),"",B478+1)</f>
        <v/>
      </c>
      <c r="C479" s="128" t="str">
        <f>IF(B479="","",IF('Loan Terms'!$H$15="30/360",30,D479-D478))</f>
        <v/>
      </c>
      <c r="D479" s="129" t="str">
        <f t="shared" si="57"/>
        <v/>
      </c>
      <c r="E479" s="129" t="str">
        <f>IF(B479="","",IF(B479&lt;='Loan Terms'!$G$10,"Yes","No"))</f>
        <v/>
      </c>
      <c r="F479" s="101" t="str">
        <f>IF(B479="","",IF('Loan Terms'!$C$13="Fixed",'Loan Terms'!$H$17,V479))</f>
        <v/>
      </c>
      <c r="G479" s="12" t="str">
        <f t="shared" si="58"/>
        <v/>
      </c>
      <c r="H479" s="12" t="str">
        <f>IF(G479="","",IF('Loan Terms'!$C$13="Fixed",(E479="Yes")*J479+(E479="No")*'Loan Terms'!$H$19,PMT(F479/12,'Loan Terms'!$G$11-B479+1,-G479)))</f>
        <v/>
      </c>
      <c r="I479" s="12" t="str">
        <f>IF(B479="","",IF(B479='Loan Terms'!$H$9*12,G479,H479-J479))</f>
        <v/>
      </c>
      <c r="J479" s="130" t="str">
        <f>IF(B479="","",IF('Loan Terms'!$H$15="Actual/365",F479*(C479/365),F479*(C479/360))*G479)</f>
        <v/>
      </c>
      <c r="K479" s="12" t="str">
        <f t="shared" si="55"/>
        <v/>
      </c>
      <c r="L479" s="130" t="str">
        <f t="shared" si="59"/>
        <v/>
      </c>
      <c r="N479" s="14" t="str">
        <f t="shared" si="60"/>
        <v/>
      </c>
      <c r="S479" s="217" t="str">
        <f t="shared" si="56"/>
        <v/>
      </c>
      <c r="T479" s="218" t="str">
        <f t="shared" si="54"/>
        <v/>
      </c>
      <c r="U479" s="219" t="str">
        <f>IF(S479="","",'Loan Terms'!$H$14)</f>
        <v/>
      </c>
      <c r="V479" s="220" t="str">
        <f t="shared" si="61"/>
        <v/>
      </c>
    </row>
    <row r="480" spans="2:22" ht="14.25" customHeight="1" x14ac:dyDescent="0.2">
      <c r="B480" s="126" t="str">
        <f>IF(OR(B479="",B479='Loan Terms'!$H$9*12),"",B479+1)</f>
        <v/>
      </c>
      <c r="C480" s="128" t="str">
        <f>IF(B480="","",IF('Loan Terms'!$H$15="30/360",30,D480-D479))</f>
        <v/>
      </c>
      <c r="D480" s="129" t="str">
        <f t="shared" si="57"/>
        <v/>
      </c>
      <c r="E480" s="129" t="str">
        <f>IF(B480="","",IF(B480&lt;='Loan Terms'!$G$10,"Yes","No"))</f>
        <v/>
      </c>
      <c r="F480" s="101" t="str">
        <f>IF(B480="","",IF('Loan Terms'!$C$13="Fixed",'Loan Terms'!$H$17,V480))</f>
        <v/>
      </c>
      <c r="G480" s="12" t="str">
        <f t="shared" si="58"/>
        <v/>
      </c>
      <c r="H480" s="12" t="str">
        <f>IF(G480="","",IF('Loan Terms'!$C$13="Fixed",(E480="Yes")*J480+(E480="No")*'Loan Terms'!$H$19,PMT(F480/12,'Loan Terms'!$G$11-B480+1,-G480)))</f>
        <v/>
      </c>
      <c r="I480" s="12" t="str">
        <f>IF(B480="","",IF(B480='Loan Terms'!$H$9*12,G480,H480-J480))</f>
        <v/>
      </c>
      <c r="J480" s="130" t="str">
        <f>IF(B480="","",IF('Loan Terms'!$H$15="Actual/365",F480*(C480/365),F480*(C480/360))*G480)</f>
        <v/>
      </c>
      <c r="K480" s="12" t="str">
        <f t="shared" si="55"/>
        <v/>
      </c>
      <c r="L480" s="130" t="str">
        <f t="shared" si="59"/>
        <v/>
      </c>
      <c r="N480" s="14" t="str">
        <f t="shared" si="60"/>
        <v/>
      </c>
      <c r="S480" s="217" t="str">
        <f t="shared" si="56"/>
        <v/>
      </c>
      <c r="T480" s="218" t="str">
        <f t="shared" si="54"/>
        <v/>
      </c>
      <c r="U480" s="219" t="str">
        <f>IF(S480="","",'Loan Terms'!$H$14)</f>
        <v/>
      </c>
      <c r="V480" s="220" t="str">
        <f t="shared" si="61"/>
        <v/>
      </c>
    </row>
    <row r="481" spans="2:22" ht="14.25" customHeight="1" x14ac:dyDescent="0.2">
      <c r="B481" s="126" t="str">
        <f>IF(OR(B480="",B480='Loan Terms'!$H$9*12),"",B480+1)</f>
        <v/>
      </c>
      <c r="C481" s="128" t="str">
        <f>IF(B481="","",IF('Loan Terms'!$H$15="30/360",30,D481-D480))</f>
        <v/>
      </c>
      <c r="D481" s="129" t="str">
        <f t="shared" si="57"/>
        <v/>
      </c>
      <c r="E481" s="129" t="str">
        <f>IF(B481="","",IF(B481&lt;='Loan Terms'!$G$10,"Yes","No"))</f>
        <v/>
      </c>
      <c r="F481" s="101" t="str">
        <f>IF(B481="","",IF('Loan Terms'!$C$13="Fixed",'Loan Terms'!$H$17,V481))</f>
        <v/>
      </c>
      <c r="G481" s="12" t="str">
        <f t="shared" si="58"/>
        <v/>
      </c>
      <c r="H481" s="12" t="str">
        <f>IF(G481="","",IF('Loan Terms'!$C$13="Fixed",(E481="Yes")*J481+(E481="No")*'Loan Terms'!$H$19,PMT(F481/12,'Loan Terms'!$G$11-B481+1,-G481)))</f>
        <v/>
      </c>
      <c r="I481" s="12" t="str">
        <f>IF(B481="","",IF(B481='Loan Terms'!$H$9*12,G481,H481-J481))</f>
        <v/>
      </c>
      <c r="J481" s="130" t="str">
        <f>IF(B481="","",IF('Loan Terms'!$H$15="Actual/365",F481*(C481/365),F481*(C481/360))*G481)</f>
        <v/>
      </c>
      <c r="K481" s="12" t="str">
        <f t="shared" si="55"/>
        <v/>
      </c>
      <c r="L481" s="130" t="str">
        <f t="shared" si="59"/>
        <v/>
      </c>
      <c r="N481" s="14" t="str">
        <f t="shared" si="60"/>
        <v/>
      </c>
      <c r="S481" s="217" t="str">
        <f t="shared" si="56"/>
        <v/>
      </c>
      <c r="T481" s="218" t="str">
        <f t="shared" si="54"/>
        <v/>
      </c>
      <c r="U481" s="219" t="str">
        <f>IF(S481="","",'Loan Terms'!$H$14)</f>
        <v/>
      </c>
      <c r="V481" s="220" t="str">
        <f t="shared" si="61"/>
        <v/>
      </c>
    </row>
    <row r="482" spans="2:22" ht="14.25" customHeight="1" x14ac:dyDescent="0.2">
      <c r="B482" s="126" t="str">
        <f>IF(OR(B481="",B481='Loan Terms'!$H$9*12),"",B481+1)</f>
        <v/>
      </c>
      <c r="C482" s="128" t="str">
        <f>IF(B482="","",IF('Loan Terms'!$H$15="30/360",30,D482-D481))</f>
        <v/>
      </c>
      <c r="D482" s="129" t="str">
        <f t="shared" si="57"/>
        <v/>
      </c>
      <c r="E482" s="129" t="str">
        <f>IF(B482="","",IF(B482&lt;='Loan Terms'!$G$10,"Yes","No"))</f>
        <v/>
      </c>
      <c r="F482" s="101" t="str">
        <f>IF(B482="","",IF('Loan Terms'!$C$13="Fixed",'Loan Terms'!$H$17,V482))</f>
        <v/>
      </c>
      <c r="G482" s="12" t="str">
        <f t="shared" si="58"/>
        <v/>
      </c>
      <c r="H482" s="12" t="str">
        <f>IF(G482="","",IF('Loan Terms'!$C$13="Fixed",(E482="Yes")*J482+(E482="No")*'Loan Terms'!$H$19,PMT(F482/12,'Loan Terms'!$G$11-B482+1,-G482)))</f>
        <v/>
      </c>
      <c r="I482" s="12" t="str">
        <f>IF(B482="","",IF(B482='Loan Terms'!$H$9*12,G482,H482-J482))</f>
        <v/>
      </c>
      <c r="J482" s="130" t="str">
        <f>IF(B482="","",IF('Loan Terms'!$H$15="Actual/365",F482*(C482/365),F482*(C482/360))*G482)</f>
        <v/>
      </c>
      <c r="K482" s="12" t="str">
        <f t="shared" si="55"/>
        <v/>
      </c>
      <c r="L482" s="130" t="str">
        <f t="shared" si="59"/>
        <v/>
      </c>
      <c r="N482" s="14" t="str">
        <f t="shared" si="60"/>
        <v/>
      </c>
      <c r="S482" s="217" t="str">
        <f t="shared" si="56"/>
        <v/>
      </c>
      <c r="T482" s="218" t="str">
        <f t="shared" si="54"/>
        <v/>
      </c>
      <c r="U482" s="219" t="str">
        <f>IF(S482="","",'Loan Terms'!$H$14)</f>
        <v/>
      </c>
      <c r="V482" s="220" t="str">
        <f t="shared" si="61"/>
        <v/>
      </c>
    </row>
    <row r="483" spans="2:22" ht="14.25" customHeight="1" x14ac:dyDescent="0.2">
      <c r="B483" s="126" t="str">
        <f>IF(OR(B482="",B482='Loan Terms'!$H$9*12),"",B482+1)</f>
        <v/>
      </c>
      <c r="C483" s="128" t="str">
        <f>IF(B483="","",IF('Loan Terms'!$H$15="30/360",30,D483-D482))</f>
        <v/>
      </c>
      <c r="D483" s="129" t="str">
        <f t="shared" si="57"/>
        <v/>
      </c>
      <c r="E483" s="129" t="str">
        <f>IF(B483="","",IF(B483&lt;='Loan Terms'!$G$10,"Yes","No"))</f>
        <v/>
      </c>
      <c r="F483" s="101" t="str">
        <f>IF(B483="","",IF('Loan Terms'!$C$13="Fixed",'Loan Terms'!$H$17,V483))</f>
        <v/>
      </c>
      <c r="G483" s="12" t="str">
        <f t="shared" si="58"/>
        <v/>
      </c>
      <c r="H483" s="12" t="str">
        <f>IF(G483="","",IF('Loan Terms'!$C$13="Fixed",(E483="Yes")*J483+(E483="No")*'Loan Terms'!$H$19,PMT(F483/12,'Loan Terms'!$G$11-B483+1,-G483)))</f>
        <v/>
      </c>
      <c r="I483" s="12" t="str">
        <f>IF(B483="","",IF(B483='Loan Terms'!$H$9*12,G483,H483-J483))</f>
        <v/>
      </c>
      <c r="J483" s="130" t="str">
        <f>IF(B483="","",IF('Loan Terms'!$H$15="Actual/365",F483*(C483/365),F483*(C483/360))*G483)</f>
        <v/>
      </c>
      <c r="K483" s="12" t="str">
        <f t="shared" si="55"/>
        <v/>
      </c>
      <c r="L483" s="130" t="str">
        <f t="shared" si="59"/>
        <v/>
      </c>
      <c r="N483" s="14" t="str">
        <f t="shared" si="60"/>
        <v/>
      </c>
      <c r="S483" s="217" t="str">
        <f t="shared" si="56"/>
        <v/>
      </c>
      <c r="T483" s="218" t="str">
        <f t="shared" si="54"/>
        <v/>
      </c>
      <c r="U483" s="219" t="str">
        <f>IF(S483="","",'Loan Terms'!$H$14)</f>
        <v/>
      </c>
      <c r="V483" s="220" t="str">
        <f t="shared" si="61"/>
        <v/>
      </c>
    </row>
    <row r="484" spans="2:22" ht="14.25" customHeight="1" x14ac:dyDescent="0.2">
      <c r="B484" s="126" t="str">
        <f>IF(OR(B483="",B483='Loan Terms'!$H$9*12),"",B483+1)</f>
        <v/>
      </c>
      <c r="C484" s="128" t="str">
        <f>IF(B484="","",IF('Loan Terms'!$H$15="30/360",30,D484-D483))</f>
        <v/>
      </c>
      <c r="D484" s="129" t="str">
        <f t="shared" si="57"/>
        <v/>
      </c>
      <c r="E484" s="129" t="str">
        <f>IF(B484="","",IF(B484&lt;='Loan Terms'!$G$10,"Yes","No"))</f>
        <v/>
      </c>
      <c r="F484" s="101" t="str">
        <f>IF(B484="","",IF('Loan Terms'!$C$13="Fixed",'Loan Terms'!$H$17,V484))</f>
        <v/>
      </c>
      <c r="G484" s="12" t="str">
        <f t="shared" si="58"/>
        <v/>
      </c>
      <c r="H484" s="12" t="str">
        <f>IF(G484="","",IF('Loan Terms'!$C$13="Fixed",(E484="Yes")*J484+(E484="No")*'Loan Terms'!$H$19,PMT(F484/12,'Loan Terms'!$G$11-B484+1,-G484)))</f>
        <v/>
      </c>
      <c r="I484" s="12" t="str">
        <f>IF(B484="","",IF(B484='Loan Terms'!$H$9*12,G484,H484-J484))</f>
        <v/>
      </c>
      <c r="J484" s="130" t="str">
        <f>IF(B484="","",IF('Loan Terms'!$H$15="Actual/365",F484*(C484/365),F484*(C484/360))*G484)</f>
        <v/>
      </c>
      <c r="K484" s="12" t="str">
        <f t="shared" si="55"/>
        <v/>
      </c>
      <c r="L484" s="130" t="str">
        <f t="shared" si="59"/>
        <v/>
      </c>
      <c r="N484" s="14" t="str">
        <f t="shared" si="60"/>
        <v/>
      </c>
      <c r="S484" s="217" t="str">
        <f t="shared" si="56"/>
        <v/>
      </c>
      <c r="T484" s="218" t="str">
        <f t="shared" si="54"/>
        <v/>
      </c>
      <c r="U484" s="219" t="str">
        <f>IF(S484="","",'Loan Terms'!$H$14)</f>
        <v/>
      </c>
      <c r="V484" s="220" t="str">
        <f t="shared" si="61"/>
        <v/>
      </c>
    </row>
    <row r="485" spans="2:22" ht="14.25" customHeight="1" x14ac:dyDescent="0.2">
      <c r="B485" s="126" t="str">
        <f>IF(OR(B484="",B484='Loan Terms'!$H$9*12),"",B484+1)</f>
        <v/>
      </c>
      <c r="C485" s="128" t="str">
        <f>IF(B485="","",IF('Loan Terms'!$H$15="30/360",30,D485-D484))</f>
        <v/>
      </c>
      <c r="D485" s="129" t="str">
        <f t="shared" si="57"/>
        <v/>
      </c>
      <c r="E485" s="129" t="str">
        <f>IF(B485="","",IF(B485&lt;='Loan Terms'!$G$10,"Yes","No"))</f>
        <v/>
      </c>
      <c r="F485" s="101" t="str">
        <f>IF(B485="","",IF('Loan Terms'!$C$13="Fixed",'Loan Terms'!$H$17,V485))</f>
        <v/>
      </c>
      <c r="G485" s="12" t="str">
        <f t="shared" si="58"/>
        <v/>
      </c>
      <c r="H485" s="12" t="str">
        <f>IF(G485="","",IF('Loan Terms'!$C$13="Fixed",(E485="Yes")*J485+(E485="No")*'Loan Terms'!$H$19,PMT(F485/12,'Loan Terms'!$G$11-B485+1,-G485)))</f>
        <v/>
      </c>
      <c r="I485" s="12" t="str">
        <f>IF(B485="","",IF(B485='Loan Terms'!$H$9*12,G485,H485-J485))</f>
        <v/>
      </c>
      <c r="J485" s="130" t="str">
        <f>IF(B485="","",IF('Loan Terms'!$H$15="Actual/365",F485*(C485/365),F485*(C485/360))*G485)</f>
        <v/>
      </c>
      <c r="K485" s="12" t="str">
        <f t="shared" si="55"/>
        <v/>
      </c>
      <c r="L485" s="130" t="str">
        <f t="shared" si="59"/>
        <v/>
      </c>
      <c r="N485" s="14" t="str">
        <f t="shared" si="60"/>
        <v/>
      </c>
      <c r="S485" s="217" t="str">
        <f t="shared" si="56"/>
        <v/>
      </c>
      <c r="T485" s="218" t="str">
        <f t="shared" si="54"/>
        <v/>
      </c>
      <c r="U485" s="219" t="str">
        <f>IF(S485="","",'Loan Terms'!$H$14)</f>
        <v/>
      </c>
      <c r="V485" s="220" t="str">
        <f t="shared" si="61"/>
        <v/>
      </c>
    </row>
    <row r="486" spans="2:22" ht="14.25" customHeight="1" x14ac:dyDescent="0.2">
      <c r="B486" s="126" t="str">
        <f>IF(OR(B485="",B485='Loan Terms'!$H$9*12),"",B485+1)</f>
        <v/>
      </c>
      <c r="C486" s="128" t="str">
        <f>IF(B486="","",IF('Loan Terms'!$H$15="30/360",30,D486-D485))</f>
        <v/>
      </c>
      <c r="D486" s="129" t="str">
        <f t="shared" si="57"/>
        <v/>
      </c>
      <c r="E486" s="129" t="str">
        <f>IF(B486="","",IF(B486&lt;='Loan Terms'!$G$10,"Yes","No"))</f>
        <v/>
      </c>
      <c r="F486" s="101" t="str">
        <f>IF(B486="","",IF('Loan Terms'!$C$13="Fixed",'Loan Terms'!$H$17,V486))</f>
        <v/>
      </c>
      <c r="G486" s="12" t="str">
        <f t="shared" si="58"/>
        <v/>
      </c>
      <c r="H486" s="12" t="str">
        <f>IF(G486="","",IF('Loan Terms'!$C$13="Fixed",(E486="Yes")*J486+(E486="No")*'Loan Terms'!$H$19,PMT(F486/12,'Loan Terms'!$G$11-B486+1,-G486)))</f>
        <v/>
      </c>
      <c r="I486" s="12" t="str">
        <f>IF(B486="","",IF(B486='Loan Terms'!$H$9*12,G486,H486-J486))</f>
        <v/>
      </c>
      <c r="J486" s="130" t="str">
        <f>IF(B486="","",IF('Loan Terms'!$H$15="Actual/365",F486*(C486/365),F486*(C486/360))*G486)</f>
        <v/>
      </c>
      <c r="K486" s="12" t="str">
        <f t="shared" si="55"/>
        <v/>
      </c>
      <c r="L486" s="130" t="str">
        <f t="shared" si="59"/>
        <v/>
      </c>
      <c r="N486" s="14" t="str">
        <f t="shared" si="60"/>
        <v/>
      </c>
      <c r="S486" s="217" t="str">
        <f t="shared" si="56"/>
        <v/>
      </c>
      <c r="T486" s="218" t="str">
        <f t="shared" si="54"/>
        <v/>
      </c>
      <c r="U486" s="219" t="str">
        <f>IF(S486="","",'Loan Terms'!$H$14)</f>
        <v/>
      </c>
      <c r="V486" s="220" t="str">
        <f t="shared" si="61"/>
        <v/>
      </c>
    </row>
    <row r="487" spans="2:22" ht="14.25" customHeight="1" x14ac:dyDescent="0.2">
      <c r="B487" s="126" t="str">
        <f>IF(OR(B486="",B486='Loan Terms'!$H$9*12),"",B486+1)</f>
        <v/>
      </c>
      <c r="C487" s="128" t="str">
        <f>IF(B487="","",IF('Loan Terms'!$H$15="30/360",30,D487-D486))</f>
        <v/>
      </c>
      <c r="D487" s="129" t="str">
        <f t="shared" si="57"/>
        <v/>
      </c>
      <c r="E487" s="129" t="str">
        <f>IF(B487="","",IF(B487&lt;='Loan Terms'!$G$10,"Yes","No"))</f>
        <v/>
      </c>
      <c r="F487" s="101" t="str">
        <f>IF(B487="","",IF('Loan Terms'!$C$13="Fixed",'Loan Terms'!$H$17,V487))</f>
        <v/>
      </c>
      <c r="G487" s="12" t="str">
        <f t="shared" si="58"/>
        <v/>
      </c>
      <c r="H487" s="12" t="str">
        <f>IF(G487="","",IF('Loan Terms'!$C$13="Fixed",(E487="Yes")*J487+(E487="No")*'Loan Terms'!$H$19,PMT(F487/12,'Loan Terms'!$G$11-B487+1,-G487)))</f>
        <v/>
      </c>
      <c r="I487" s="12" t="str">
        <f>IF(B487="","",IF(B487='Loan Terms'!$H$9*12,G487,H487-J487))</f>
        <v/>
      </c>
      <c r="J487" s="130" t="str">
        <f>IF(B487="","",IF('Loan Terms'!$H$15="Actual/365",F487*(C487/365),F487*(C487/360))*G487)</f>
        <v/>
      </c>
      <c r="K487" s="12" t="str">
        <f t="shared" si="55"/>
        <v/>
      </c>
      <c r="L487" s="130" t="str">
        <f t="shared" si="59"/>
        <v/>
      </c>
      <c r="N487" s="14" t="str">
        <f t="shared" si="60"/>
        <v/>
      </c>
      <c r="S487" s="217" t="str">
        <f t="shared" si="56"/>
        <v/>
      </c>
      <c r="T487" s="218" t="str">
        <f t="shared" si="54"/>
        <v/>
      </c>
      <c r="U487" s="219" t="str">
        <f>IF(S487="","",'Loan Terms'!$H$14)</f>
        <v/>
      </c>
      <c r="V487" s="220" t="str">
        <f t="shared" si="61"/>
        <v/>
      </c>
    </row>
    <row r="488" spans="2:22" ht="14.25" customHeight="1" x14ac:dyDescent="0.2">
      <c r="B488" s="126" t="str">
        <f>IF(OR(B487="",B487='Loan Terms'!$H$9*12),"",B487+1)</f>
        <v/>
      </c>
      <c r="C488" s="128" t="str">
        <f>IF(B488="","",IF('Loan Terms'!$H$15="30/360",30,D488-D487))</f>
        <v/>
      </c>
      <c r="D488" s="129" t="str">
        <f t="shared" si="57"/>
        <v/>
      </c>
      <c r="E488" s="129" t="str">
        <f>IF(B488="","",IF(B488&lt;='Loan Terms'!$G$10,"Yes","No"))</f>
        <v/>
      </c>
      <c r="F488" s="101" t="str">
        <f>IF(B488="","",IF('Loan Terms'!$C$13="Fixed",'Loan Terms'!$H$17,V488))</f>
        <v/>
      </c>
      <c r="G488" s="12" t="str">
        <f t="shared" si="58"/>
        <v/>
      </c>
      <c r="H488" s="12" t="str">
        <f>IF(G488="","",IF('Loan Terms'!$C$13="Fixed",(E488="Yes")*J488+(E488="No")*'Loan Terms'!$H$19,PMT(F488/12,'Loan Terms'!$G$11-B488+1,-G488)))</f>
        <v/>
      </c>
      <c r="I488" s="12" t="str">
        <f>IF(B488="","",IF(B488='Loan Terms'!$H$9*12,G488,H488-J488))</f>
        <v/>
      </c>
      <c r="J488" s="130" t="str">
        <f>IF(B488="","",IF('Loan Terms'!$H$15="Actual/365",F488*(C488/365),F488*(C488/360))*G488)</f>
        <v/>
      </c>
      <c r="K488" s="12" t="str">
        <f t="shared" si="55"/>
        <v/>
      </c>
      <c r="L488" s="130" t="str">
        <f t="shared" si="59"/>
        <v/>
      </c>
      <c r="N488" s="14" t="str">
        <f t="shared" si="60"/>
        <v/>
      </c>
      <c r="S488" s="217" t="str">
        <f t="shared" si="56"/>
        <v/>
      </c>
      <c r="T488" s="218" t="str">
        <f t="shared" si="54"/>
        <v/>
      </c>
      <c r="U488" s="219" t="str">
        <f>IF(S488="","",'Loan Terms'!$H$14)</f>
        <v/>
      </c>
      <c r="V488" s="220" t="str">
        <f t="shared" si="61"/>
        <v/>
      </c>
    </row>
    <row r="489" spans="2:22" ht="14.25" customHeight="1" x14ac:dyDescent="0.2">
      <c r="B489" s="126" t="str">
        <f>IF(OR(B488="",B488='Loan Terms'!$H$9*12),"",B488+1)</f>
        <v/>
      </c>
      <c r="C489" s="128" t="str">
        <f>IF(B489="","",IF('Loan Terms'!$H$15="30/360",30,D489-D488))</f>
        <v/>
      </c>
      <c r="D489" s="129" t="str">
        <f t="shared" si="57"/>
        <v/>
      </c>
      <c r="E489" s="129" t="str">
        <f>IF(B489="","",IF(B489&lt;='Loan Terms'!$G$10,"Yes","No"))</f>
        <v/>
      </c>
      <c r="F489" s="101" t="str">
        <f>IF(B489="","",IF('Loan Terms'!$C$13="Fixed",'Loan Terms'!$H$17,V489))</f>
        <v/>
      </c>
      <c r="G489" s="12" t="str">
        <f t="shared" si="58"/>
        <v/>
      </c>
      <c r="H489" s="12" t="str">
        <f>IF(G489="","",IF('Loan Terms'!$C$13="Fixed",(E489="Yes")*J489+(E489="No")*'Loan Terms'!$H$19,PMT(F489/12,'Loan Terms'!$G$11-B489+1,-G489)))</f>
        <v/>
      </c>
      <c r="I489" s="12" t="str">
        <f>IF(B489="","",IF(B489='Loan Terms'!$H$9*12,G489,H489-J489))</f>
        <v/>
      </c>
      <c r="J489" s="130" t="str">
        <f>IF(B489="","",IF('Loan Terms'!$H$15="Actual/365",F489*(C489/365),F489*(C489/360))*G489)</f>
        <v/>
      </c>
      <c r="K489" s="12" t="str">
        <f t="shared" si="55"/>
        <v/>
      </c>
      <c r="L489" s="130" t="str">
        <f t="shared" si="59"/>
        <v/>
      </c>
      <c r="N489" s="14" t="str">
        <f t="shared" si="60"/>
        <v/>
      </c>
      <c r="S489" s="217" t="str">
        <f t="shared" si="56"/>
        <v/>
      </c>
      <c r="T489" s="218" t="str">
        <f t="shared" si="54"/>
        <v/>
      </c>
      <c r="U489" s="219" t="str">
        <f>IF(S489="","",'Loan Terms'!$H$14)</f>
        <v/>
      </c>
      <c r="V489" s="220" t="str">
        <f t="shared" si="61"/>
        <v/>
      </c>
    </row>
    <row r="490" spans="2:22" ht="14.25" customHeight="1" x14ac:dyDescent="0.2">
      <c r="B490" s="126" t="str">
        <f>IF(OR(B489="",B489='Loan Terms'!$H$9*12),"",B489+1)</f>
        <v/>
      </c>
      <c r="C490" s="128" t="str">
        <f>IF(B490="","",IF('Loan Terms'!$H$15="30/360",30,D490-D489))</f>
        <v/>
      </c>
      <c r="D490" s="129" t="str">
        <f t="shared" si="57"/>
        <v/>
      </c>
      <c r="E490" s="129" t="str">
        <f>IF(B490="","",IF(B490&lt;='Loan Terms'!$G$10,"Yes","No"))</f>
        <v/>
      </c>
      <c r="F490" s="101" t="str">
        <f>IF(B490="","",IF('Loan Terms'!$C$13="Fixed",'Loan Terms'!$H$17,V490))</f>
        <v/>
      </c>
      <c r="G490" s="12" t="str">
        <f t="shared" si="58"/>
        <v/>
      </c>
      <c r="H490" s="12" t="str">
        <f>IF(G490="","",IF('Loan Terms'!$C$13="Fixed",(E490="Yes")*J490+(E490="No")*'Loan Terms'!$H$19,PMT(F490/12,'Loan Terms'!$G$11-B490+1,-G490)))</f>
        <v/>
      </c>
      <c r="I490" s="12" t="str">
        <f>IF(B490="","",IF(B490='Loan Terms'!$H$9*12,G490,H490-J490))</f>
        <v/>
      </c>
      <c r="J490" s="130" t="str">
        <f>IF(B490="","",IF('Loan Terms'!$H$15="Actual/365",F490*(C490/365),F490*(C490/360))*G490)</f>
        <v/>
      </c>
      <c r="K490" s="12" t="str">
        <f t="shared" si="55"/>
        <v/>
      </c>
      <c r="L490" s="130" t="str">
        <f t="shared" si="59"/>
        <v/>
      </c>
      <c r="N490" s="14" t="str">
        <f t="shared" si="60"/>
        <v/>
      </c>
      <c r="S490" s="217" t="str">
        <f t="shared" si="56"/>
        <v/>
      </c>
      <c r="T490" s="218" t="str">
        <f t="shared" si="54"/>
        <v/>
      </c>
      <c r="U490" s="219" t="str">
        <f>IF(S490="","",'Loan Terms'!$H$14)</f>
        <v/>
      </c>
      <c r="V490" s="220" t="str">
        <f t="shared" si="61"/>
        <v/>
      </c>
    </row>
    <row r="491" spans="2:22" ht="14.25" customHeight="1" x14ac:dyDescent="0.2">
      <c r="B491" s="126" t="str">
        <f>IF(OR(B490="",B490='Loan Terms'!$H$9*12),"",B490+1)</f>
        <v/>
      </c>
      <c r="C491" s="128" t="str">
        <f>IF(B491="","",IF('Loan Terms'!$H$15="30/360",30,D491-D490))</f>
        <v/>
      </c>
      <c r="D491" s="129" t="str">
        <f t="shared" si="57"/>
        <v/>
      </c>
      <c r="E491" s="129" t="str">
        <f>IF(B491="","",IF(B491&lt;='Loan Terms'!$G$10,"Yes","No"))</f>
        <v/>
      </c>
      <c r="F491" s="101" t="str">
        <f>IF(B491="","",IF('Loan Terms'!$C$13="Fixed",'Loan Terms'!$H$17,V491))</f>
        <v/>
      </c>
      <c r="G491" s="12" t="str">
        <f t="shared" si="58"/>
        <v/>
      </c>
      <c r="H491" s="12" t="str">
        <f>IF(G491="","",IF('Loan Terms'!$C$13="Fixed",(E491="Yes")*J491+(E491="No")*'Loan Terms'!$H$19,PMT(F491/12,'Loan Terms'!$G$11-B491+1,-G491)))</f>
        <v/>
      </c>
      <c r="I491" s="12" t="str">
        <f>IF(B491="","",IF(B491='Loan Terms'!$H$9*12,G491,H491-J491))</f>
        <v/>
      </c>
      <c r="J491" s="130" t="str">
        <f>IF(B491="","",IF('Loan Terms'!$H$15="Actual/365",F491*(C491/365),F491*(C491/360))*G491)</f>
        <v/>
      </c>
      <c r="K491" s="12" t="str">
        <f t="shared" si="55"/>
        <v/>
      </c>
      <c r="L491" s="130" t="str">
        <f t="shared" si="59"/>
        <v/>
      </c>
      <c r="N491" s="14" t="str">
        <f t="shared" si="60"/>
        <v/>
      </c>
      <c r="S491" s="217" t="str">
        <f t="shared" si="56"/>
        <v/>
      </c>
      <c r="T491" s="218" t="str">
        <f t="shared" si="54"/>
        <v/>
      </c>
      <c r="U491" s="219" t="str">
        <f>IF(S491="","",'Loan Terms'!$H$14)</f>
        <v/>
      </c>
      <c r="V491" s="220" t="str">
        <f t="shared" si="61"/>
        <v/>
      </c>
    </row>
    <row r="492" spans="2:22" ht="14.25" customHeight="1" x14ac:dyDescent="0.2">
      <c r="B492" s="126" t="str">
        <f>IF(OR(B491="",B491='Loan Terms'!$H$9*12),"",B491+1)</f>
        <v/>
      </c>
      <c r="C492" s="128" t="str">
        <f>IF(B492="","",IF('Loan Terms'!$H$15="30/360",30,D492-D491))</f>
        <v/>
      </c>
      <c r="D492" s="129" t="str">
        <f t="shared" si="57"/>
        <v/>
      </c>
      <c r="E492" s="129" t="str">
        <f>IF(B492="","",IF(B492&lt;='Loan Terms'!$G$10,"Yes","No"))</f>
        <v/>
      </c>
      <c r="F492" s="101" t="str">
        <f>IF(B492="","",IF('Loan Terms'!$C$13="Fixed",'Loan Terms'!$H$17,V492))</f>
        <v/>
      </c>
      <c r="G492" s="12" t="str">
        <f t="shared" si="58"/>
        <v/>
      </c>
      <c r="H492" s="12" t="str">
        <f>IF(G492="","",IF('Loan Terms'!$C$13="Fixed",(E492="Yes")*J492+(E492="No")*'Loan Terms'!$H$19,PMT(F492/12,'Loan Terms'!$G$11-B492+1,-G492)))</f>
        <v/>
      </c>
      <c r="I492" s="12" t="str">
        <f>IF(B492="","",IF(B492='Loan Terms'!$H$9*12,G492,H492-J492))</f>
        <v/>
      </c>
      <c r="J492" s="130" t="str">
        <f>IF(B492="","",IF('Loan Terms'!$H$15="Actual/365",F492*(C492/365),F492*(C492/360))*G492)</f>
        <v/>
      </c>
      <c r="K492" s="12" t="str">
        <f t="shared" si="55"/>
        <v/>
      </c>
      <c r="L492" s="130" t="str">
        <f t="shared" si="59"/>
        <v/>
      </c>
      <c r="N492" s="14" t="str">
        <f t="shared" si="60"/>
        <v/>
      </c>
      <c r="S492" s="217" t="str">
        <f t="shared" si="56"/>
        <v/>
      </c>
      <c r="T492" s="218" t="str">
        <f t="shared" si="54"/>
        <v/>
      </c>
      <c r="U492" s="219" t="str">
        <f>IF(S492="","",'Loan Terms'!$H$14)</f>
        <v/>
      </c>
      <c r="V492" s="220" t="str">
        <f t="shared" si="61"/>
        <v/>
      </c>
    </row>
    <row r="493" spans="2:22" ht="14.25" customHeight="1" x14ac:dyDescent="0.2">
      <c r="B493" s="126" t="str">
        <f>IF(OR(B492="",B492='Loan Terms'!$H$9*12),"",B492+1)</f>
        <v/>
      </c>
      <c r="C493" s="128" t="str">
        <f>IF(B493="","",IF('Loan Terms'!$H$15="30/360",30,D493-D492))</f>
        <v/>
      </c>
      <c r="D493" s="129" t="str">
        <f t="shared" si="57"/>
        <v/>
      </c>
      <c r="E493" s="129" t="str">
        <f>IF(B493="","",IF(B493&lt;='Loan Terms'!$G$10,"Yes","No"))</f>
        <v/>
      </c>
      <c r="F493" s="101" t="str">
        <f>IF(B493="","",IF('Loan Terms'!$C$13="Fixed",'Loan Terms'!$H$17,V493))</f>
        <v/>
      </c>
      <c r="G493" s="12" t="str">
        <f t="shared" si="58"/>
        <v/>
      </c>
      <c r="H493" s="12" t="str">
        <f>IF(G493="","",IF('Loan Terms'!$C$13="Fixed",(E493="Yes")*J493+(E493="No")*'Loan Terms'!$H$19,PMT(F493/12,'Loan Terms'!$G$11-B493+1,-G493)))</f>
        <v/>
      </c>
      <c r="I493" s="12" t="str">
        <f>IF(B493="","",IF(B493='Loan Terms'!$H$9*12,G493,H493-J493))</f>
        <v/>
      </c>
      <c r="J493" s="130" t="str">
        <f>IF(B493="","",IF('Loan Terms'!$H$15="Actual/365",F493*(C493/365),F493*(C493/360))*G493)</f>
        <v/>
      </c>
      <c r="K493" s="12" t="str">
        <f t="shared" si="55"/>
        <v/>
      </c>
      <c r="L493" s="130" t="str">
        <f t="shared" si="59"/>
        <v/>
      </c>
      <c r="N493" s="14" t="str">
        <f t="shared" si="60"/>
        <v/>
      </c>
      <c r="S493" s="217" t="str">
        <f t="shared" si="56"/>
        <v/>
      </c>
      <c r="T493" s="218" t="str">
        <f t="shared" si="54"/>
        <v/>
      </c>
      <c r="U493" s="219" t="str">
        <f>IF(S493="","",'Loan Terms'!$H$14)</f>
        <v/>
      </c>
      <c r="V493" s="220" t="str">
        <f t="shared" si="61"/>
        <v/>
      </c>
    </row>
    <row r="494" spans="2:22" ht="14.25" customHeight="1" x14ac:dyDescent="0.2">
      <c r="B494" s="126" t="str">
        <f>IF(OR(B493="",B493='Loan Terms'!$H$9*12),"",B493+1)</f>
        <v/>
      </c>
      <c r="C494" s="128" t="str">
        <f>IF(B494="","",IF('Loan Terms'!$H$15="30/360",30,D494-D493))</f>
        <v/>
      </c>
      <c r="D494" s="129" t="str">
        <f t="shared" si="57"/>
        <v/>
      </c>
      <c r="E494" s="129" t="str">
        <f>IF(B494="","",IF(B494&lt;='Loan Terms'!$G$10,"Yes","No"))</f>
        <v/>
      </c>
      <c r="F494" s="101" t="str">
        <f>IF(B494="","",IF('Loan Terms'!$C$13="Fixed",'Loan Terms'!$H$17,V494))</f>
        <v/>
      </c>
      <c r="G494" s="12" t="str">
        <f t="shared" si="58"/>
        <v/>
      </c>
      <c r="H494" s="12" t="str">
        <f>IF(G494="","",IF('Loan Terms'!$C$13="Fixed",(E494="Yes")*J494+(E494="No")*'Loan Terms'!$H$19,PMT(F494/12,'Loan Terms'!$G$11-B494+1,-G494)))</f>
        <v/>
      </c>
      <c r="I494" s="12" t="str">
        <f>IF(B494="","",IF(B494='Loan Terms'!$H$9*12,G494,H494-J494))</f>
        <v/>
      </c>
      <c r="J494" s="130" t="str">
        <f>IF(B494="","",IF('Loan Terms'!$H$15="Actual/365",F494*(C494/365),F494*(C494/360))*G494)</f>
        <v/>
      </c>
      <c r="K494" s="12" t="str">
        <f t="shared" si="55"/>
        <v/>
      </c>
      <c r="L494" s="130" t="str">
        <f t="shared" si="59"/>
        <v/>
      </c>
      <c r="N494" s="14" t="str">
        <f t="shared" si="60"/>
        <v/>
      </c>
      <c r="S494" s="217" t="str">
        <f t="shared" si="56"/>
        <v/>
      </c>
      <c r="T494" s="218" t="str">
        <f t="shared" si="54"/>
        <v/>
      </c>
      <c r="U494" s="219" t="str">
        <f>IF(S494="","",'Loan Terms'!$H$14)</f>
        <v/>
      </c>
      <c r="V494" s="220" t="str">
        <f t="shared" si="61"/>
        <v/>
      </c>
    </row>
    <row r="495" spans="2:22" ht="14.25" customHeight="1" x14ac:dyDescent="0.2">
      <c r="B495" s="126" t="str">
        <f>IF(OR(B494="",B494='Loan Terms'!$H$9*12),"",B494+1)</f>
        <v/>
      </c>
      <c r="C495" s="128" t="str">
        <f>IF(B495="","",IF('Loan Terms'!$H$15="30/360",30,D495-D494))</f>
        <v/>
      </c>
      <c r="D495" s="129" t="str">
        <f t="shared" si="57"/>
        <v/>
      </c>
      <c r="E495" s="129" t="str">
        <f>IF(B495="","",IF(B495&lt;='Loan Terms'!$G$10,"Yes","No"))</f>
        <v/>
      </c>
      <c r="F495" s="101" t="str">
        <f>IF(B495="","",IF('Loan Terms'!$C$13="Fixed",'Loan Terms'!$H$17,V495))</f>
        <v/>
      </c>
      <c r="G495" s="12" t="str">
        <f t="shared" si="58"/>
        <v/>
      </c>
      <c r="H495" s="12" t="str">
        <f>IF(G495="","",IF('Loan Terms'!$C$13="Fixed",(E495="Yes")*J495+(E495="No")*'Loan Terms'!$H$19,PMT(F495/12,'Loan Terms'!$G$11-B495+1,-G495)))</f>
        <v/>
      </c>
      <c r="I495" s="12" t="str">
        <f>IF(B495="","",IF(B495='Loan Terms'!$H$9*12,G495,H495-J495))</f>
        <v/>
      </c>
      <c r="J495" s="130" t="str">
        <f>IF(B495="","",IF('Loan Terms'!$H$15="Actual/365",F495*(C495/365),F495*(C495/360))*G495)</f>
        <v/>
      </c>
      <c r="K495" s="12" t="str">
        <f t="shared" si="55"/>
        <v/>
      </c>
      <c r="L495" s="130" t="str">
        <f t="shared" si="59"/>
        <v/>
      </c>
      <c r="N495" s="14" t="str">
        <f t="shared" si="60"/>
        <v/>
      </c>
      <c r="S495" s="217" t="str">
        <f t="shared" si="56"/>
        <v/>
      </c>
      <c r="T495" s="218" t="str">
        <f t="shared" si="54"/>
        <v/>
      </c>
      <c r="U495" s="219" t="str">
        <f>IF(S495="","",'Loan Terms'!$H$14)</f>
        <v/>
      </c>
      <c r="V495" s="220" t="str">
        <f t="shared" si="61"/>
        <v/>
      </c>
    </row>
    <row r="496" spans="2:22" ht="14.25" customHeight="1" x14ac:dyDescent="0.2">
      <c r="B496" s="126" t="str">
        <f>IF(OR(B495="",B495='Loan Terms'!$H$9*12),"",B495+1)</f>
        <v/>
      </c>
      <c r="C496" s="128" t="str">
        <f>IF(B496="","",IF('Loan Terms'!$H$15="30/360",30,D496-D495))</f>
        <v/>
      </c>
      <c r="D496" s="129" t="str">
        <f t="shared" si="57"/>
        <v/>
      </c>
      <c r="E496" s="129" t="str">
        <f>IF(B496="","",IF(B496&lt;='Loan Terms'!$G$10,"Yes","No"))</f>
        <v/>
      </c>
      <c r="F496" s="101" t="str">
        <f>IF(B496="","",IF('Loan Terms'!$C$13="Fixed",'Loan Terms'!$H$17,V496))</f>
        <v/>
      </c>
      <c r="G496" s="12" t="str">
        <f t="shared" si="58"/>
        <v/>
      </c>
      <c r="H496" s="12" t="str">
        <f>IF(G496="","",IF('Loan Terms'!$C$13="Fixed",(E496="Yes")*J496+(E496="No")*'Loan Terms'!$H$19,PMT(F496/12,'Loan Terms'!$G$11-B496+1,-G496)))</f>
        <v/>
      </c>
      <c r="I496" s="12" t="str">
        <f>IF(B496="","",IF(B496='Loan Terms'!$H$9*12,G496,H496-J496))</f>
        <v/>
      </c>
      <c r="J496" s="130" t="str">
        <f>IF(B496="","",IF('Loan Terms'!$H$15="Actual/365",F496*(C496/365),F496*(C496/360))*G496)</f>
        <v/>
      </c>
      <c r="K496" s="12" t="str">
        <f t="shared" si="55"/>
        <v/>
      </c>
      <c r="L496" s="130" t="str">
        <f t="shared" si="59"/>
        <v/>
      </c>
      <c r="N496" s="14" t="str">
        <f t="shared" si="60"/>
        <v/>
      </c>
      <c r="S496" s="217" t="str">
        <f t="shared" si="56"/>
        <v/>
      </c>
      <c r="T496" s="218" t="str">
        <f t="shared" si="54"/>
        <v/>
      </c>
      <c r="U496" s="219" t="str">
        <f>IF(S496="","",'Loan Terms'!$H$14)</f>
        <v/>
      </c>
      <c r="V496" s="220" t="str">
        <f t="shared" si="61"/>
        <v/>
      </c>
    </row>
    <row r="497" spans="2:22" ht="14.25" customHeight="1" x14ac:dyDescent="0.2">
      <c r="B497" s="126" t="str">
        <f>IF(OR(B496="",B496='Loan Terms'!$H$9*12),"",B496+1)</f>
        <v/>
      </c>
      <c r="C497" s="128" t="str">
        <f>IF(B497="","",IF('Loan Terms'!$H$15="30/360",30,D497-D496))</f>
        <v/>
      </c>
      <c r="D497" s="129" t="str">
        <f t="shared" si="57"/>
        <v/>
      </c>
      <c r="E497" s="129" t="str">
        <f>IF(B497="","",IF(B497&lt;='Loan Terms'!$G$10,"Yes","No"))</f>
        <v/>
      </c>
      <c r="F497" s="101" t="str">
        <f>IF(B497="","",IF('Loan Terms'!$C$13="Fixed",'Loan Terms'!$H$17,V497))</f>
        <v/>
      </c>
      <c r="G497" s="12" t="str">
        <f t="shared" si="58"/>
        <v/>
      </c>
      <c r="H497" s="12" t="str">
        <f>IF(G497="","",IF('Loan Terms'!$C$13="Fixed",(E497="Yes")*J497+(E497="No")*'Loan Terms'!$H$19,PMT(F497/12,'Loan Terms'!$G$11-B497+1,-G497)))</f>
        <v/>
      </c>
      <c r="I497" s="12" t="str">
        <f>IF(B497="","",IF(B497='Loan Terms'!$H$9*12,G497,H497-J497))</f>
        <v/>
      </c>
      <c r="J497" s="130" t="str">
        <f>IF(B497="","",IF('Loan Terms'!$H$15="Actual/365",F497*(C497/365),F497*(C497/360))*G497)</f>
        <v/>
      </c>
      <c r="K497" s="12" t="str">
        <f t="shared" si="55"/>
        <v/>
      </c>
      <c r="L497" s="130" t="str">
        <f t="shared" si="59"/>
        <v/>
      </c>
      <c r="N497" s="14" t="str">
        <f t="shared" si="60"/>
        <v/>
      </c>
      <c r="S497" s="217" t="str">
        <f t="shared" si="56"/>
        <v/>
      </c>
      <c r="T497" s="218" t="str">
        <f t="shared" si="54"/>
        <v/>
      </c>
      <c r="U497" s="219" t="str">
        <f>IF(S497="","",'Loan Terms'!$H$14)</f>
        <v/>
      </c>
      <c r="V497" s="220" t="str">
        <f t="shared" si="61"/>
        <v/>
      </c>
    </row>
    <row r="498" spans="2:22" ht="14.25" customHeight="1" x14ac:dyDescent="0.2">
      <c r="B498" s="126" t="str">
        <f>IF(OR(B497="",B497='Loan Terms'!$H$9*12),"",B497+1)</f>
        <v/>
      </c>
      <c r="C498" s="128" t="str">
        <f>IF(B498="","",IF('Loan Terms'!$H$15="30/360",30,D498-D497))</f>
        <v/>
      </c>
      <c r="D498" s="129" t="str">
        <f t="shared" si="57"/>
        <v/>
      </c>
      <c r="E498" s="129" t="str">
        <f>IF(B498="","",IF(B498&lt;='Loan Terms'!$G$10,"Yes","No"))</f>
        <v/>
      </c>
      <c r="F498" s="101" t="str">
        <f>IF(B498="","",IF('Loan Terms'!$C$13="Fixed",'Loan Terms'!$H$17,V498))</f>
        <v/>
      </c>
      <c r="G498" s="12" t="str">
        <f t="shared" si="58"/>
        <v/>
      </c>
      <c r="H498" s="12" t="str">
        <f>IF(G498="","",IF('Loan Terms'!$C$13="Fixed",(E498="Yes")*J498+(E498="No")*'Loan Terms'!$H$19,PMT(F498/12,'Loan Terms'!$G$11-B498+1,-G498)))</f>
        <v/>
      </c>
      <c r="I498" s="12" t="str">
        <f>IF(B498="","",IF(B498='Loan Terms'!$H$9*12,G498,H498-J498))</f>
        <v/>
      </c>
      <c r="J498" s="130" t="str">
        <f>IF(B498="","",IF('Loan Terms'!$H$15="Actual/365",F498*(C498/365),F498*(C498/360))*G498)</f>
        <v/>
      </c>
      <c r="K498" s="12" t="str">
        <f t="shared" si="55"/>
        <v/>
      </c>
      <c r="L498" s="130" t="str">
        <f t="shared" si="59"/>
        <v/>
      </c>
      <c r="N498" s="14" t="str">
        <f t="shared" si="60"/>
        <v/>
      </c>
      <c r="S498" s="217" t="str">
        <f t="shared" si="56"/>
        <v/>
      </c>
      <c r="T498" s="218" t="str">
        <f t="shared" si="54"/>
        <v/>
      </c>
      <c r="U498" s="219" t="str">
        <f>IF(S498="","",'Loan Terms'!$H$14)</f>
        <v/>
      </c>
      <c r="V498" s="220" t="str">
        <f t="shared" si="61"/>
        <v/>
      </c>
    </row>
    <row r="499" spans="2:22" ht="14.25" customHeight="1" x14ac:dyDescent="0.2">
      <c r="B499" s="126" t="str">
        <f>IF(OR(B498="",B498='Loan Terms'!$H$9*12),"",B498+1)</f>
        <v/>
      </c>
      <c r="C499" s="128" t="str">
        <f>IF(B499="","",IF('Loan Terms'!$H$15="30/360",30,D499-D498))</f>
        <v/>
      </c>
      <c r="D499" s="129" t="str">
        <f t="shared" si="57"/>
        <v/>
      </c>
      <c r="E499" s="129" t="str">
        <f>IF(B499="","",IF(B499&lt;='Loan Terms'!$G$10,"Yes","No"))</f>
        <v/>
      </c>
      <c r="F499" s="101" t="str">
        <f>IF(B499="","",IF('Loan Terms'!$C$13="Fixed",'Loan Terms'!$H$17,V499))</f>
        <v/>
      </c>
      <c r="G499" s="12" t="str">
        <f t="shared" si="58"/>
        <v/>
      </c>
      <c r="H499" s="12" t="str">
        <f>IF(G499="","",IF('Loan Terms'!$C$13="Fixed",(E499="Yes")*J499+(E499="No")*'Loan Terms'!$H$19,PMT(F499/12,'Loan Terms'!$G$11-B499+1,-G499)))</f>
        <v/>
      </c>
      <c r="I499" s="12" t="str">
        <f>IF(B499="","",IF(B499='Loan Terms'!$H$9*12,G499,H499-J499))</f>
        <v/>
      </c>
      <c r="J499" s="130" t="str">
        <f>IF(B499="","",IF('Loan Terms'!$H$15="Actual/365",F499*(C499/365),F499*(C499/360))*G499)</f>
        <v/>
      </c>
      <c r="K499" s="12" t="str">
        <f t="shared" si="55"/>
        <v/>
      </c>
      <c r="L499" s="130" t="str">
        <f t="shared" si="59"/>
        <v/>
      </c>
      <c r="N499" s="14" t="str">
        <f t="shared" si="60"/>
        <v/>
      </c>
      <c r="S499" s="217" t="str">
        <f t="shared" si="56"/>
        <v/>
      </c>
      <c r="T499" s="218" t="str">
        <f t="shared" si="54"/>
        <v/>
      </c>
      <c r="U499" s="219" t="str">
        <f>IF(S499="","",'Loan Terms'!$H$14)</f>
        <v/>
      </c>
      <c r="V499" s="220" t="str">
        <f t="shared" si="61"/>
        <v/>
      </c>
    </row>
    <row r="500" spans="2:22" ht="14.25" customHeight="1" x14ac:dyDescent="0.2">
      <c r="B500" s="126" t="str">
        <f>IF(OR(B499="",B499='Loan Terms'!$H$9*12),"",B499+1)</f>
        <v/>
      </c>
      <c r="C500" s="128" t="str">
        <f>IF(B500="","",IF('Loan Terms'!$H$15="30/360",30,D500-D499))</f>
        <v/>
      </c>
      <c r="D500" s="129" t="str">
        <f t="shared" si="57"/>
        <v/>
      </c>
      <c r="E500" s="129" t="str">
        <f>IF(B500="","",IF(B500&lt;='Loan Terms'!$G$10,"Yes","No"))</f>
        <v/>
      </c>
      <c r="F500" s="101" t="str">
        <f>IF(B500="","",IF('Loan Terms'!$C$13="Fixed",'Loan Terms'!$H$17,V500))</f>
        <v/>
      </c>
      <c r="G500" s="12" t="str">
        <f t="shared" si="58"/>
        <v/>
      </c>
      <c r="H500" s="12" t="str">
        <f>IF(G500="","",IF('Loan Terms'!$C$13="Fixed",(E500="Yes")*J500+(E500="No")*'Loan Terms'!$H$19,PMT(F500/12,'Loan Terms'!$G$11-B500+1,-G500)))</f>
        <v/>
      </c>
      <c r="I500" s="12" t="str">
        <f>IF(B500="","",IF(B500='Loan Terms'!$H$9*12,G500,H500-J500))</f>
        <v/>
      </c>
      <c r="J500" s="130" t="str">
        <f>IF(B500="","",IF('Loan Terms'!$H$15="Actual/365",F500*(C500/365),F500*(C500/360))*G500)</f>
        <v/>
      </c>
      <c r="K500" s="12" t="str">
        <f t="shared" si="55"/>
        <v/>
      </c>
      <c r="L500" s="130" t="str">
        <f t="shared" si="59"/>
        <v/>
      </c>
      <c r="N500" s="14" t="str">
        <f t="shared" si="60"/>
        <v/>
      </c>
      <c r="S500" s="217" t="str">
        <f t="shared" si="56"/>
        <v/>
      </c>
      <c r="T500" s="218" t="str">
        <f t="shared" si="54"/>
        <v/>
      </c>
      <c r="U500" s="219" t="str">
        <f>IF(S500="","",'Loan Terms'!$H$14)</f>
        <v/>
      </c>
      <c r="V500" s="220" t="str">
        <f t="shared" si="61"/>
        <v/>
      </c>
    </row>
    <row r="501" spans="2:22" ht="14.25" customHeight="1" x14ac:dyDescent="0.2">
      <c r="B501" s="126" t="str">
        <f>IF(OR(B500="",B500='Loan Terms'!$H$9*12),"",B500+1)</f>
        <v/>
      </c>
      <c r="C501" s="128" t="str">
        <f>IF(B501="","",IF('Loan Terms'!$H$15="30/360",30,D501-D500))</f>
        <v/>
      </c>
      <c r="D501" s="129" t="str">
        <f t="shared" si="57"/>
        <v/>
      </c>
      <c r="E501" s="129" t="str">
        <f>IF(B501="","",IF(B501&lt;='Loan Terms'!$G$10,"Yes","No"))</f>
        <v/>
      </c>
      <c r="F501" s="101" t="str">
        <f>IF(B501="","",IF('Loan Terms'!$C$13="Fixed",'Loan Terms'!$H$17,V501))</f>
        <v/>
      </c>
      <c r="G501" s="12" t="str">
        <f t="shared" si="58"/>
        <v/>
      </c>
      <c r="H501" s="12" t="str">
        <f>IF(G501="","",IF('Loan Terms'!$C$13="Fixed",(E501="Yes")*J501+(E501="No")*'Loan Terms'!$H$19,PMT(F501/12,'Loan Terms'!$G$11-B501+1,-G501)))</f>
        <v/>
      </c>
      <c r="I501" s="12" t="str">
        <f>IF(B501="","",IF(B501='Loan Terms'!$H$9*12,G501,H501-J501))</f>
        <v/>
      </c>
      <c r="J501" s="130" t="str">
        <f>IF(B501="","",IF('Loan Terms'!$H$15="Actual/365",F501*(C501/365),F501*(C501/360))*G501)</f>
        <v/>
      </c>
      <c r="K501" s="12" t="str">
        <f t="shared" si="55"/>
        <v/>
      </c>
      <c r="L501" s="130" t="str">
        <f t="shared" si="59"/>
        <v/>
      </c>
      <c r="N501" s="14" t="str">
        <f t="shared" si="60"/>
        <v/>
      </c>
      <c r="S501" s="217" t="str">
        <f t="shared" si="56"/>
        <v/>
      </c>
      <c r="T501" s="218" t="str">
        <f t="shared" si="54"/>
        <v/>
      </c>
      <c r="U501" s="219" t="str">
        <f>IF(S501="","",'Loan Terms'!$H$14)</f>
        <v/>
      </c>
      <c r="V501" s="220" t="str">
        <f t="shared" si="61"/>
        <v/>
      </c>
    </row>
    <row r="502" spans="2:22" ht="14.25" customHeight="1" x14ac:dyDescent="0.2">
      <c r="B502" s="126" t="str">
        <f>IF(OR(B501="",B501='Loan Terms'!$H$9*12),"",B501+1)</f>
        <v/>
      </c>
      <c r="C502" s="128" t="str">
        <f>IF(B502="","",IF('Loan Terms'!$H$15="30/360",30,D502-D501))</f>
        <v/>
      </c>
      <c r="D502" s="129" t="str">
        <f t="shared" si="57"/>
        <v/>
      </c>
      <c r="E502" s="129" t="str">
        <f>IF(B502="","",IF(B502&lt;='Loan Terms'!$G$10,"Yes","No"))</f>
        <v/>
      </c>
      <c r="F502" s="101" t="str">
        <f>IF(B502="","",IF('Loan Terms'!$C$13="Fixed",'Loan Terms'!$H$17,V502))</f>
        <v/>
      </c>
      <c r="G502" s="12" t="str">
        <f t="shared" si="58"/>
        <v/>
      </c>
      <c r="H502" s="12" t="str">
        <f>IF(G502="","",IF('Loan Terms'!$C$13="Fixed",(E502="Yes")*J502+(E502="No")*'Loan Terms'!$H$19,PMT(F502/12,'Loan Terms'!$G$11-B502+1,-G502)))</f>
        <v/>
      </c>
      <c r="I502" s="12" t="str">
        <f>IF(B502="","",IF(B502='Loan Terms'!$H$9*12,G502,H502-J502))</f>
        <v/>
      </c>
      <c r="J502" s="130" t="str">
        <f>IF(B502="","",IF('Loan Terms'!$H$15="Actual/365",F502*(C502/365),F502*(C502/360))*G502)</f>
        <v/>
      </c>
      <c r="K502" s="12" t="str">
        <f t="shared" si="55"/>
        <v/>
      </c>
      <c r="L502" s="130" t="str">
        <f t="shared" si="59"/>
        <v/>
      </c>
      <c r="N502" s="14" t="str">
        <f t="shared" si="60"/>
        <v/>
      </c>
      <c r="S502" s="217" t="str">
        <f t="shared" si="56"/>
        <v/>
      </c>
      <c r="T502" s="218" t="str">
        <f t="shared" si="54"/>
        <v/>
      </c>
      <c r="U502" s="219" t="str">
        <f>IF(S502="","",'Loan Terms'!$H$14)</f>
        <v/>
      </c>
      <c r="V502" s="220" t="str">
        <f t="shared" si="61"/>
        <v/>
      </c>
    </row>
    <row r="503" spans="2:22" ht="14.25" customHeight="1" x14ac:dyDescent="0.2">
      <c r="B503" s="126" t="str">
        <f>IF(OR(B502="",B502='Loan Terms'!$H$9*12),"",B502+1)</f>
        <v/>
      </c>
      <c r="C503" s="128" t="str">
        <f>IF(B503="","",IF('Loan Terms'!$H$15="30/360",30,D503-D502))</f>
        <v/>
      </c>
      <c r="D503" s="129" t="str">
        <f t="shared" si="57"/>
        <v/>
      </c>
      <c r="E503" s="129" t="str">
        <f>IF(B503="","",IF(B503&lt;='Loan Terms'!$G$10,"Yes","No"))</f>
        <v/>
      </c>
      <c r="F503" s="101" t="str">
        <f>IF(B503="","",IF('Loan Terms'!$C$13="Fixed",'Loan Terms'!$H$17,V503))</f>
        <v/>
      </c>
      <c r="G503" s="12" t="str">
        <f t="shared" si="58"/>
        <v/>
      </c>
      <c r="H503" s="12" t="str">
        <f>IF(G503="","",IF('Loan Terms'!$C$13="Fixed",(E503="Yes")*J503+(E503="No")*'Loan Terms'!$H$19,PMT(F503/12,'Loan Terms'!$G$11-B503+1,-G503)))</f>
        <v/>
      </c>
      <c r="I503" s="12" t="str">
        <f>IF(B503="","",IF(B503='Loan Terms'!$H$9*12,G503,H503-J503))</f>
        <v/>
      </c>
      <c r="J503" s="130" t="str">
        <f>IF(B503="","",IF('Loan Terms'!$H$15="Actual/365",F503*(C503/365),F503*(C503/360))*G503)</f>
        <v/>
      </c>
      <c r="K503" s="12" t="str">
        <f t="shared" si="55"/>
        <v/>
      </c>
      <c r="L503" s="130" t="str">
        <f t="shared" si="59"/>
        <v/>
      </c>
      <c r="N503" s="14" t="str">
        <f t="shared" si="60"/>
        <v/>
      </c>
      <c r="S503" s="217" t="str">
        <f t="shared" si="56"/>
        <v/>
      </c>
      <c r="T503" s="218" t="str">
        <f t="shared" si="54"/>
        <v/>
      </c>
      <c r="U503" s="219" t="str">
        <f>IF(S503="","",'Loan Terms'!$H$14)</f>
        <v/>
      </c>
      <c r="V503" s="220" t="str">
        <f t="shared" si="61"/>
        <v/>
      </c>
    </row>
    <row r="504" spans="2:22" ht="14.25" customHeight="1" x14ac:dyDescent="0.2">
      <c r="B504" s="126" t="str">
        <f>IF(OR(B503="",B503='Loan Terms'!$H$9*12),"",B503+1)</f>
        <v/>
      </c>
      <c r="C504" s="128" t="str">
        <f>IF(B504="","",IF('Loan Terms'!$H$15="30/360",30,D504-D503))</f>
        <v/>
      </c>
      <c r="D504" s="129" t="str">
        <f t="shared" si="57"/>
        <v/>
      </c>
      <c r="E504" s="129" t="str">
        <f>IF(B504="","",IF(B504&lt;='Loan Terms'!$G$10,"Yes","No"))</f>
        <v/>
      </c>
      <c r="F504" s="101" t="str">
        <f>IF(B504="","",IF('Loan Terms'!$C$13="Fixed",'Loan Terms'!$H$17,V504))</f>
        <v/>
      </c>
      <c r="G504" s="12" t="str">
        <f t="shared" si="58"/>
        <v/>
      </c>
      <c r="H504" s="12" t="str">
        <f>IF(G504="","",IF('Loan Terms'!$C$13="Fixed",(E504="Yes")*J504+(E504="No")*'Loan Terms'!$H$19,PMT(F504/12,'Loan Terms'!$G$11-B504+1,-G504)))</f>
        <v/>
      </c>
      <c r="I504" s="12" t="str">
        <f>IF(B504="","",IF(B504='Loan Terms'!$H$9*12,G504,H504-J504))</f>
        <v/>
      </c>
      <c r="J504" s="130" t="str">
        <f>IF(B504="","",IF('Loan Terms'!$H$15="Actual/365",F504*(C504/365),F504*(C504/360))*G504)</f>
        <v/>
      </c>
      <c r="K504" s="12" t="str">
        <f t="shared" si="55"/>
        <v/>
      </c>
      <c r="L504" s="130" t="str">
        <f t="shared" si="59"/>
        <v/>
      </c>
      <c r="N504" s="14" t="str">
        <f t="shared" si="60"/>
        <v/>
      </c>
      <c r="S504" s="217" t="str">
        <f t="shared" si="56"/>
        <v/>
      </c>
      <c r="T504" s="218" t="str">
        <f t="shared" si="54"/>
        <v/>
      </c>
      <c r="U504" s="219" t="str">
        <f>IF(S504="","",'Loan Terms'!$H$14)</f>
        <v/>
      </c>
      <c r="V504" s="220" t="str">
        <f t="shared" si="61"/>
        <v/>
      </c>
    </row>
    <row r="505" spans="2:22" ht="14.25" customHeight="1" x14ac:dyDescent="0.2">
      <c r="B505" s="126" t="str">
        <f>IF(OR(B504="",B504='Loan Terms'!$H$9*12),"",B504+1)</f>
        <v/>
      </c>
      <c r="C505" s="128" t="str">
        <f>IF(B505="","",IF('Loan Terms'!$H$15="30/360",30,D505-D504))</f>
        <v/>
      </c>
      <c r="D505" s="129" t="str">
        <f t="shared" si="57"/>
        <v/>
      </c>
      <c r="E505" s="129" t="str">
        <f>IF(B505="","",IF(B505&lt;='Loan Terms'!$G$10,"Yes","No"))</f>
        <v/>
      </c>
      <c r="F505" s="101" t="str">
        <f>IF(B505="","",IF('Loan Terms'!$C$13="Fixed",'Loan Terms'!$H$17,V505))</f>
        <v/>
      </c>
      <c r="G505" s="12" t="str">
        <f t="shared" si="58"/>
        <v/>
      </c>
      <c r="H505" s="12" t="str">
        <f>IF(G505="","",IF('Loan Terms'!$C$13="Fixed",(E505="Yes")*J505+(E505="No")*'Loan Terms'!$H$19,PMT(F505/12,'Loan Terms'!$G$11-B505+1,-G505)))</f>
        <v/>
      </c>
      <c r="I505" s="12" t="str">
        <f>IF(B505="","",IF(B505='Loan Terms'!$H$9*12,G505,H505-J505))</f>
        <v/>
      </c>
      <c r="J505" s="130" t="str">
        <f>IF(B505="","",IF('Loan Terms'!$H$15="Actual/365",F505*(C505/365),F505*(C505/360))*G505)</f>
        <v/>
      </c>
      <c r="K505" s="12" t="str">
        <f t="shared" si="55"/>
        <v/>
      </c>
      <c r="L505" s="130" t="str">
        <f t="shared" si="59"/>
        <v/>
      </c>
      <c r="N505" s="14" t="str">
        <f t="shared" si="60"/>
        <v/>
      </c>
      <c r="S505" s="217" t="str">
        <f t="shared" si="56"/>
        <v/>
      </c>
      <c r="T505" s="218" t="str">
        <f t="shared" si="54"/>
        <v/>
      </c>
      <c r="U505" s="219" t="str">
        <f>IF(S505="","",'Loan Terms'!$H$14)</f>
        <v/>
      </c>
      <c r="V505" s="220" t="str">
        <f t="shared" si="61"/>
        <v/>
      </c>
    </row>
    <row r="506" spans="2:22" ht="14.25" customHeight="1" x14ac:dyDescent="0.2">
      <c r="B506" s="126" t="str">
        <f>IF(OR(B505="",B505='Loan Terms'!$H$9*12),"",B505+1)</f>
        <v/>
      </c>
      <c r="C506" s="128" t="str">
        <f>IF(B506="","",IF('Loan Terms'!$H$15="30/360",30,D506-D505))</f>
        <v/>
      </c>
      <c r="D506" s="129" t="str">
        <f t="shared" si="57"/>
        <v/>
      </c>
      <c r="E506" s="129" t="str">
        <f>IF(B506="","",IF(B506&lt;='Loan Terms'!$G$10,"Yes","No"))</f>
        <v/>
      </c>
      <c r="F506" s="101" t="str">
        <f>IF(B506="","",IF('Loan Terms'!$C$13="Fixed",'Loan Terms'!$H$17,V506))</f>
        <v/>
      </c>
      <c r="G506" s="12" t="str">
        <f t="shared" si="58"/>
        <v/>
      </c>
      <c r="H506" s="12" t="str">
        <f>IF(G506="","",IF('Loan Terms'!$C$13="Fixed",(E506="Yes")*J506+(E506="No")*'Loan Terms'!$H$19,PMT(F506/12,'Loan Terms'!$G$11-B506+1,-G506)))</f>
        <v/>
      </c>
      <c r="I506" s="12" t="str">
        <f>IF(B506="","",IF(B506='Loan Terms'!$H$9*12,G506,H506-J506))</f>
        <v/>
      </c>
      <c r="J506" s="130" t="str">
        <f>IF(B506="","",IF('Loan Terms'!$H$15="Actual/365",F506*(C506/365),F506*(C506/360))*G506)</f>
        <v/>
      </c>
      <c r="K506" s="12" t="str">
        <f t="shared" si="55"/>
        <v/>
      </c>
      <c r="L506" s="130" t="str">
        <f t="shared" si="59"/>
        <v/>
      </c>
      <c r="N506" s="14" t="str">
        <f t="shared" si="60"/>
        <v/>
      </c>
      <c r="S506" s="217" t="str">
        <f t="shared" si="56"/>
        <v/>
      </c>
      <c r="T506" s="218" t="str">
        <f t="shared" si="54"/>
        <v/>
      </c>
      <c r="U506" s="219" t="str">
        <f>IF(S506="","",'Loan Terms'!$H$14)</f>
        <v/>
      </c>
      <c r="V506" s="220" t="str">
        <f t="shared" si="61"/>
        <v/>
      </c>
    </row>
    <row r="507" spans="2:22" ht="14.25" customHeight="1" x14ac:dyDescent="0.2">
      <c r="B507" s="126" t="str">
        <f>IF(OR(B506="",B506='Loan Terms'!$H$9*12),"",B506+1)</f>
        <v/>
      </c>
      <c r="C507" s="128" t="str">
        <f>IF(B507="","",IF('Loan Terms'!$H$15="30/360",30,D507-D506))</f>
        <v/>
      </c>
      <c r="D507" s="129" t="str">
        <f t="shared" si="57"/>
        <v/>
      </c>
      <c r="E507" s="129" t="str">
        <f>IF(B507="","",IF(B507&lt;='Loan Terms'!$G$10,"Yes","No"))</f>
        <v/>
      </c>
      <c r="F507" s="101" t="str">
        <f>IF(B507="","",IF('Loan Terms'!$C$13="Fixed",'Loan Terms'!$H$17,V507))</f>
        <v/>
      </c>
      <c r="G507" s="12" t="str">
        <f t="shared" si="58"/>
        <v/>
      </c>
      <c r="H507" s="12" t="str">
        <f>IF(G507="","",IF('Loan Terms'!$C$13="Fixed",(E507="Yes")*J507+(E507="No")*'Loan Terms'!$H$19,PMT(F507/12,'Loan Terms'!$G$11-B507+1,-G507)))</f>
        <v/>
      </c>
      <c r="I507" s="12" t="str">
        <f>IF(B507="","",IF(B507='Loan Terms'!$H$9*12,G507,H507-J507))</f>
        <v/>
      </c>
      <c r="J507" s="130" t="str">
        <f>IF(B507="","",IF('Loan Terms'!$H$15="Actual/365",F507*(C507/365),F507*(C507/360))*G507)</f>
        <v/>
      </c>
      <c r="K507" s="12" t="str">
        <f t="shared" si="55"/>
        <v/>
      </c>
      <c r="L507" s="130" t="str">
        <f t="shared" si="59"/>
        <v/>
      </c>
      <c r="N507" s="14" t="str">
        <f t="shared" si="60"/>
        <v/>
      </c>
      <c r="S507" s="217" t="str">
        <f t="shared" si="56"/>
        <v/>
      </c>
      <c r="T507" s="218" t="str">
        <f t="shared" si="54"/>
        <v/>
      </c>
      <c r="U507" s="219" t="str">
        <f>IF(S507="","",'Loan Terms'!$H$14)</f>
        <v/>
      </c>
      <c r="V507" s="220" t="str">
        <f t="shared" si="61"/>
        <v/>
      </c>
    </row>
    <row r="508" spans="2:22" ht="14.25" customHeight="1" x14ac:dyDescent="0.2">
      <c r="B508" s="126" t="str">
        <f>IF(OR(B507="",B507='Loan Terms'!$H$9*12),"",B507+1)</f>
        <v/>
      </c>
      <c r="C508" s="128" t="str">
        <f>IF(B508="","",IF('Loan Terms'!$H$15="30/360",30,D508-D507))</f>
        <v/>
      </c>
      <c r="D508" s="129" t="str">
        <f t="shared" si="57"/>
        <v/>
      </c>
      <c r="E508" s="129" t="str">
        <f>IF(B508="","",IF(B508&lt;='Loan Terms'!$G$10,"Yes","No"))</f>
        <v/>
      </c>
      <c r="F508" s="101" t="str">
        <f>IF(B508="","",IF('Loan Terms'!$C$13="Fixed",'Loan Terms'!$H$17,V508))</f>
        <v/>
      </c>
      <c r="G508" s="12" t="str">
        <f t="shared" si="58"/>
        <v/>
      </c>
      <c r="H508" s="12" t="str">
        <f>IF(G508="","",IF('Loan Terms'!$C$13="Fixed",(E508="Yes")*J508+(E508="No")*'Loan Terms'!$H$19,PMT(F508/12,'Loan Terms'!$G$11-B508+1,-G508)))</f>
        <v/>
      </c>
      <c r="I508" s="12" t="str">
        <f>IF(B508="","",IF(B508='Loan Terms'!$H$9*12,G508,H508-J508))</f>
        <v/>
      </c>
      <c r="J508" s="130" t="str">
        <f>IF(B508="","",IF('Loan Terms'!$H$15="Actual/365",F508*(C508/365),F508*(C508/360))*G508)</f>
        <v/>
      </c>
      <c r="K508" s="12" t="str">
        <f t="shared" si="55"/>
        <v/>
      </c>
      <c r="L508" s="130" t="str">
        <f t="shared" si="59"/>
        <v/>
      </c>
      <c r="N508" s="14" t="str">
        <f t="shared" si="60"/>
        <v/>
      </c>
      <c r="S508" s="217" t="str">
        <f t="shared" si="56"/>
        <v/>
      </c>
      <c r="T508" s="218" t="str">
        <f t="shared" si="54"/>
        <v/>
      </c>
      <c r="U508" s="219" t="str">
        <f>IF(S508="","",'Loan Terms'!$H$14)</f>
        <v/>
      </c>
      <c r="V508" s="220" t="str">
        <f t="shared" si="61"/>
        <v/>
      </c>
    </row>
    <row r="509" spans="2:22" ht="14.25" customHeight="1" x14ac:dyDescent="0.2">
      <c r="B509" s="126" t="str">
        <f>IF(OR(B508="",B508='Loan Terms'!$H$9*12),"",B508+1)</f>
        <v/>
      </c>
      <c r="C509" s="128" t="str">
        <f>IF(B509="","",IF('Loan Terms'!$H$15="30/360",30,D509-D508))</f>
        <v/>
      </c>
      <c r="D509" s="129" t="str">
        <f t="shared" si="57"/>
        <v/>
      </c>
      <c r="E509" s="129" t="str">
        <f>IF(B509="","",IF(B509&lt;='Loan Terms'!$G$10,"Yes","No"))</f>
        <v/>
      </c>
      <c r="F509" s="101" t="str">
        <f>IF(B509="","",IF('Loan Terms'!$C$13="Fixed",'Loan Terms'!$H$17,V509))</f>
        <v/>
      </c>
      <c r="G509" s="12" t="str">
        <f t="shared" si="58"/>
        <v/>
      </c>
      <c r="H509" s="12" t="str">
        <f>IF(G509="","",IF('Loan Terms'!$C$13="Fixed",(E509="Yes")*J509+(E509="No")*'Loan Terms'!$H$19,PMT(F509/12,'Loan Terms'!$G$11-B509+1,-G509)))</f>
        <v/>
      </c>
      <c r="I509" s="12" t="str">
        <f>IF(B509="","",IF(B509='Loan Terms'!$H$9*12,G509,H509-J509))</f>
        <v/>
      </c>
      <c r="J509" s="130" t="str">
        <f>IF(B509="","",IF('Loan Terms'!$H$15="Actual/365",F509*(C509/365),F509*(C509/360))*G509)</f>
        <v/>
      </c>
      <c r="K509" s="12" t="str">
        <f t="shared" si="55"/>
        <v/>
      </c>
      <c r="L509" s="130" t="str">
        <f t="shared" si="59"/>
        <v/>
      </c>
      <c r="N509" s="14" t="str">
        <f t="shared" si="60"/>
        <v/>
      </c>
      <c r="S509" s="217" t="str">
        <f t="shared" si="56"/>
        <v/>
      </c>
      <c r="T509" s="218" t="str">
        <f t="shared" si="54"/>
        <v/>
      </c>
      <c r="U509" s="219" t="str">
        <f>IF(S509="","",'Loan Terms'!$H$14)</f>
        <v/>
      </c>
      <c r="V509" s="220" t="str">
        <f t="shared" si="61"/>
        <v/>
      </c>
    </row>
    <row r="510" spans="2:22" ht="14.25" customHeight="1" x14ac:dyDescent="0.2">
      <c r="B510" s="126" t="str">
        <f>IF(OR(B509="",B509='Loan Terms'!$H$9*12),"",B509+1)</f>
        <v/>
      </c>
      <c r="C510" s="128" t="str">
        <f>IF(B510="","",IF('Loan Terms'!$H$15="30/360",30,D510-D509))</f>
        <v/>
      </c>
      <c r="D510" s="129" t="str">
        <f t="shared" si="57"/>
        <v/>
      </c>
      <c r="E510" s="129" t="str">
        <f>IF(B510="","",IF(B510&lt;='Loan Terms'!$G$10,"Yes","No"))</f>
        <v/>
      </c>
      <c r="F510" s="101" t="str">
        <f>IF(B510="","",IF('Loan Terms'!$C$13="Fixed",'Loan Terms'!$H$17,V510))</f>
        <v/>
      </c>
      <c r="G510" s="12" t="str">
        <f t="shared" si="58"/>
        <v/>
      </c>
      <c r="H510" s="12" t="str">
        <f>IF(G510="","",IF('Loan Terms'!$C$13="Fixed",(E510="Yes")*J510+(E510="No")*'Loan Terms'!$H$19,PMT(F510/12,'Loan Terms'!$G$11-B510+1,-G510)))</f>
        <v/>
      </c>
      <c r="I510" s="12" t="str">
        <f>IF(B510="","",IF(B510='Loan Terms'!$H$9*12,G510,H510-J510))</f>
        <v/>
      </c>
      <c r="J510" s="130" t="str">
        <f>IF(B510="","",IF('Loan Terms'!$H$15="Actual/365",F510*(C510/365),F510*(C510/360))*G510)</f>
        <v/>
      </c>
      <c r="K510" s="12" t="str">
        <f t="shared" si="55"/>
        <v/>
      </c>
      <c r="L510" s="130" t="str">
        <f t="shared" si="59"/>
        <v/>
      </c>
      <c r="N510" s="14" t="str">
        <f t="shared" si="60"/>
        <v/>
      </c>
      <c r="S510" s="217" t="str">
        <f t="shared" si="56"/>
        <v/>
      </c>
      <c r="T510" s="218" t="str">
        <f t="shared" si="54"/>
        <v/>
      </c>
      <c r="U510" s="219" t="str">
        <f>IF(S510="","",'Loan Terms'!$H$14)</f>
        <v/>
      </c>
      <c r="V510" s="220" t="str">
        <f t="shared" si="61"/>
        <v/>
      </c>
    </row>
    <row r="511" spans="2:22" ht="14.25" customHeight="1" x14ac:dyDescent="0.2">
      <c r="B511" s="126" t="str">
        <f>IF(OR(B510="",B510='Loan Terms'!$H$9*12),"",B510+1)</f>
        <v/>
      </c>
      <c r="C511" s="128" t="str">
        <f>IF(B511="","",IF('Loan Terms'!$H$15="30/360",30,D511-D510))</f>
        <v/>
      </c>
      <c r="D511" s="129" t="str">
        <f t="shared" si="57"/>
        <v/>
      </c>
      <c r="E511" s="129" t="str">
        <f>IF(B511="","",IF(B511&lt;='Loan Terms'!$G$10,"Yes","No"))</f>
        <v/>
      </c>
      <c r="F511" s="101" t="str">
        <f>IF(B511="","",IF('Loan Terms'!$C$13="Fixed",'Loan Terms'!$H$17,V511))</f>
        <v/>
      </c>
      <c r="G511" s="12" t="str">
        <f t="shared" si="58"/>
        <v/>
      </c>
      <c r="H511" s="12" t="str">
        <f>IF(G511="","",IF('Loan Terms'!$C$13="Fixed",(E511="Yes")*J511+(E511="No")*'Loan Terms'!$H$19,PMT(F511/12,'Loan Terms'!$G$11-B511+1,-G511)))</f>
        <v/>
      </c>
      <c r="I511" s="12" t="str">
        <f>IF(B511="","",IF(B511='Loan Terms'!$H$9*12,G511,H511-J511))</f>
        <v/>
      </c>
      <c r="J511" s="130" t="str">
        <f>IF(B511="","",IF('Loan Terms'!$H$15="Actual/365",F511*(C511/365),F511*(C511/360))*G511)</f>
        <v/>
      </c>
      <c r="K511" s="12" t="str">
        <f t="shared" si="55"/>
        <v/>
      </c>
      <c r="L511" s="130" t="str">
        <f t="shared" si="59"/>
        <v/>
      </c>
      <c r="N511" s="14" t="str">
        <f t="shared" si="60"/>
        <v/>
      </c>
      <c r="S511" s="217" t="str">
        <f t="shared" si="56"/>
        <v/>
      </c>
      <c r="T511" s="218" t="str">
        <f t="shared" ref="T511:T574" si="62">IF(S511="","",T510)</f>
        <v/>
      </c>
      <c r="U511" s="219" t="str">
        <f>IF(S511="","",'Loan Terms'!$H$14)</f>
        <v/>
      </c>
      <c r="V511" s="220" t="str">
        <f t="shared" si="61"/>
        <v/>
      </c>
    </row>
    <row r="512" spans="2:22" ht="14.25" customHeight="1" x14ac:dyDescent="0.2">
      <c r="B512" s="126" t="str">
        <f>IF(OR(B511="",B511='Loan Terms'!$H$9*12),"",B511+1)</f>
        <v/>
      </c>
      <c r="C512" s="128" t="str">
        <f>IF(B512="","",IF('Loan Terms'!$H$15="30/360",30,D512-D511))</f>
        <v/>
      </c>
      <c r="D512" s="129" t="str">
        <f t="shared" si="57"/>
        <v/>
      </c>
      <c r="E512" s="129" t="str">
        <f>IF(B512="","",IF(B512&lt;='Loan Terms'!$G$10,"Yes","No"))</f>
        <v/>
      </c>
      <c r="F512" s="101" t="str">
        <f>IF(B512="","",IF('Loan Terms'!$C$13="Fixed",'Loan Terms'!$H$17,V512))</f>
        <v/>
      </c>
      <c r="G512" s="12" t="str">
        <f t="shared" si="58"/>
        <v/>
      </c>
      <c r="H512" s="12" t="str">
        <f>IF(G512="","",IF('Loan Terms'!$C$13="Fixed",(E512="Yes")*J512+(E512="No")*'Loan Terms'!$H$19,PMT(F512/12,'Loan Terms'!$G$11-B512+1,-G512)))</f>
        <v/>
      </c>
      <c r="I512" s="12" t="str">
        <f>IF(B512="","",IF(B512='Loan Terms'!$H$9*12,G512,H512-J512))</f>
        <v/>
      </c>
      <c r="J512" s="130" t="str">
        <f>IF(B512="","",IF('Loan Terms'!$H$15="Actual/365",F512*(C512/365),F512*(C512/360))*G512)</f>
        <v/>
      </c>
      <c r="K512" s="12" t="str">
        <f t="shared" si="55"/>
        <v/>
      </c>
      <c r="L512" s="130" t="str">
        <f t="shared" si="59"/>
        <v/>
      </c>
      <c r="N512" s="14" t="str">
        <f t="shared" si="60"/>
        <v/>
      </c>
      <c r="S512" s="217" t="str">
        <f t="shared" si="56"/>
        <v/>
      </c>
      <c r="T512" s="218" t="str">
        <f t="shared" si="62"/>
        <v/>
      </c>
      <c r="U512" s="219" t="str">
        <f>IF(S512="","",'Loan Terms'!$H$14)</f>
        <v/>
      </c>
      <c r="V512" s="220" t="str">
        <f t="shared" si="61"/>
        <v/>
      </c>
    </row>
    <row r="513" spans="2:22" ht="14.25" customHeight="1" x14ac:dyDescent="0.2">
      <c r="B513" s="126" t="str">
        <f>IF(OR(B512="",B512='Loan Terms'!$H$9*12),"",B512+1)</f>
        <v/>
      </c>
      <c r="C513" s="128" t="str">
        <f>IF(B513="","",IF('Loan Terms'!$H$15="30/360",30,D513-D512))</f>
        <v/>
      </c>
      <c r="D513" s="129" t="str">
        <f t="shared" si="57"/>
        <v/>
      </c>
      <c r="E513" s="129" t="str">
        <f>IF(B513="","",IF(B513&lt;='Loan Terms'!$G$10,"Yes","No"))</f>
        <v/>
      </c>
      <c r="F513" s="101" t="str">
        <f>IF(B513="","",IF('Loan Terms'!$C$13="Fixed",'Loan Terms'!$H$17,V513))</f>
        <v/>
      </c>
      <c r="G513" s="12" t="str">
        <f t="shared" si="58"/>
        <v/>
      </c>
      <c r="H513" s="12" t="str">
        <f>IF(G513="","",IF('Loan Terms'!$C$13="Fixed",(E513="Yes")*J513+(E513="No")*'Loan Terms'!$H$19,PMT(F513/12,'Loan Terms'!$G$11-B513+1,-G513)))</f>
        <v/>
      </c>
      <c r="I513" s="12" t="str">
        <f>IF(B513="","",IF(B513='Loan Terms'!$H$9*12,G513,H513-J513))</f>
        <v/>
      </c>
      <c r="J513" s="130" t="str">
        <f>IF(B513="","",IF('Loan Terms'!$H$15="Actual/365",F513*(C513/365),F513*(C513/360))*G513)</f>
        <v/>
      </c>
      <c r="K513" s="12" t="str">
        <f t="shared" si="55"/>
        <v/>
      </c>
      <c r="L513" s="130" t="str">
        <f t="shared" si="59"/>
        <v/>
      </c>
      <c r="N513" s="14" t="str">
        <f t="shared" si="60"/>
        <v/>
      </c>
      <c r="S513" s="217" t="str">
        <f t="shared" si="56"/>
        <v/>
      </c>
      <c r="T513" s="218" t="str">
        <f t="shared" si="62"/>
        <v/>
      </c>
      <c r="U513" s="219" t="str">
        <f>IF(S513="","",'Loan Terms'!$H$14)</f>
        <v/>
      </c>
      <c r="V513" s="220" t="str">
        <f t="shared" si="61"/>
        <v/>
      </c>
    </row>
    <row r="514" spans="2:22" ht="14.25" customHeight="1" x14ac:dyDescent="0.2">
      <c r="B514" s="126" t="str">
        <f>IF(OR(B513="",B513='Loan Terms'!$H$9*12),"",B513+1)</f>
        <v/>
      </c>
      <c r="C514" s="128" t="str">
        <f>IF(B514="","",IF('Loan Terms'!$H$15="30/360",30,D514-D513))</f>
        <v/>
      </c>
      <c r="D514" s="129" t="str">
        <f t="shared" si="57"/>
        <v/>
      </c>
      <c r="E514" s="129" t="str">
        <f>IF(B514="","",IF(B514&lt;='Loan Terms'!$G$10,"Yes","No"))</f>
        <v/>
      </c>
      <c r="F514" s="101" t="str">
        <f>IF(B514="","",IF('Loan Terms'!$C$13="Fixed",'Loan Terms'!$H$17,V514))</f>
        <v/>
      </c>
      <c r="G514" s="12" t="str">
        <f t="shared" si="58"/>
        <v/>
      </c>
      <c r="H514" s="12" t="str">
        <f>IF(G514="","",IF('Loan Terms'!$C$13="Fixed",(E514="Yes")*J514+(E514="No")*'Loan Terms'!$H$19,PMT(F514/12,'Loan Terms'!$G$11-B514+1,-G514)))</f>
        <v/>
      </c>
      <c r="I514" s="12" t="str">
        <f>IF(B514="","",IF(B514='Loan Terms'!$H$9*12,G514,H514-J514))</f>
        <v/>
      </c>
      <c r="J514" s="130" t="str">
        <f>IF(B514="","",IF('Loan Terms'!$H$15="Actual/365",F514*(C514/365),F514*(C514/360))*G514)</f>
        <v/>
      </c>
      <c r="K514" s="12" t="str">
        <f t="shared" si="55"/>
        <v/>
      </c>
      <c r="L514" s="130" t="str">
        <f t="shared" si="59"/>
        <v/>
      </c>
      <c r="N514" s="14" t="str">
        <f t="shared" si="60"/>
        <v/>
      </c>
      <c r="S514" s="217" t="str">
        <f t="shared" si="56"/>
        <v/>
      </c>
      <c r="T514" s="218" t="str">
        <f t="shared" si="62"/>
        <v/>
      </c>
      <c r="U514" s="219" t="str">
        <f>IF(S514="","",'Loan Terms'!$H$14)</f>
        <v/>
      </c>
      <c r="V514" s="220" t="str">
        <f t="shared" si="61"/>
        <v/>
      </c>
    </row>
    <row r="515" spans="2:22" ht="14.25" customHeight="1" x14ac:dyDescent="0.2">
      <c r="B515" s="126" t="str">
        <f>IF(OR(B514="",B514='Loan Terms'!$H$9*12),"",B514+1)</f>
        <v/>
      </c>
      <c r="C515" s="128" t="str">
        <f>IF(B515="","",IF('Loan Terms'!$H$15="30/360",30,D515-D514))</f>
        <v/>
      </c>
      <c r="D515" s="129" t="str">
        <f t="shared" si="57"/>
        <v/>
      </c>
      <c r="E515" s="129" t="str">
        <f>IF(B515="","",IF(B515&lt;='Loan Terms'!$G$10,"Yes","No"))</f>
        <v/>
      </c>
      <c r="F515" s="101" t="str">
        <f>IF(B515="","",IF('Loan Terms'!$C$13="Fixed",'Loan Terms'!$H$17,V515))</f>
        <v/>
      </c>
      <c r="G515" s="12" t="str">
        <f t="shared" si="58"/>
        <v/>
      </c>
      <c r="H515" s="12" t="str">
        <f>IF(G515="","",IF('Loan Terms'!$C$13="Fixed",(E515="Yes")*J515+(E515="No")*'Loan Terms'!$H$19,PMT(F515/12,'Loan Terms'!$G$11-B515+1,-G515)))</f>
        <v/>
      </c>
      <c r="I515" s="12" t="str">
        <f>IF(B515="","",IF(B515='Loan Terms'!$H$9*12,G515,H515-J515))</f>
        <v/>
      </c>
      <c r="J515" s="130" t="str">
        <f>IF(B515="","",IF('Loan Terms'!$H$15="Actual/365",F515*(C515/365),F515*(C515/360))*G515)</f>
        <v/>
      </c>
      <c r="K515" s="12" t="str">
        <f t="shared" si="55"/>
        <v/>
      </c>
      <c r="L515" s="130" t="str">
        <f t="shared" si="59"/>
        <v/>
      </c>
      <c r="N515" s="14" t="str">
        <f t="shared" si="60"/>
        <v/>
      </c>
      <c r="S515" s="217" t="str">
        <f t="shared" si="56"/>
        <v/>
      </c>
      <c r="T515" s="218" t="str">
        <f t="shared" si="62"/>
        <v/>
      </c>
      <c r="U515" s="219" t="str">
        <f>IF(S515="","",'Loan Terms'!$H$14)</f>
        <v/>
      </c>
      <c r="V515" s="220" t="str">
        <f t="shared" si="61"/>
        <v/>
      </c>
    </row>
    <row r="516" spans="2:22" ht="14.25" customHeight="1" x14ac:dyDescent="0.2">
      <c r="B516" s="126" t="str">
        <f>IF(OR(B515="",B515='Loan Terms'!$H$9*12),"",B515+1)</f>
        <v/>
      </c>
      <c r="C516" s="128" t="str">
        <f>IF(B516="","",IF('Loan Terms'!$H$15="30/360",30,D516-D515))</f>
        <v/>
      </c>
      <c r="D516" s="129" t="str">
        <f t="shared" si="57"/>
        <v/>
      </c>
      <c r="E516" s="129" t="str">
        <f>IF(B516="","",IF(B516&lt;='Loan Terms'!$G$10,"Yes","No"))</f>
        <v/>
      </c>
      <c r="F516" s="101" t="str">
        <f>IF(B516="","",IF('Loan Terms'!$C$13="Fixed",'Loan Terms'!$H$17,V516))</f>
        <v/>
      </c>
      <c r="G516" s="12" t="str">
        <f t="shared" si="58"/>
        <v/>
      </c>
      <c r="H516" s="12" t="str">
        <f>IF(G516="","",IF('Loan Terms'!$C$13="Fixed",(E516="Yes")*J516+(E516="No")*'Loan Terms'!$H$19,PMT(F516/12,'Loan Terms'!$G$11-B516+1,-G516)))</f>
        <v/>
      </c>
      <c r="I516" s="12" t="str">
        <f>IF(B516="","",IF(B516='Loan Terms'!$H$9*12,G516,H516-J516))</f>
        <v/>
      </c>
      <c r="J516" s="130" t="str">
        <f>IF(B516="","",IF('Loan Terms'!$H$15="Actual/365",F516*(C516/365),F516*(C516/360))*G516)</f>
        <v/>
      </c>
      <c r="K516" s="12" t="str">
        <f t="shared" si="55"/>
        <v/>
      </c>
      <c r="L516" s="130" t="str">
        <f t="shared" si="59"/>
        <v/>
      </c>
      <c r="N516" s="14" t="str">
        <f t="shared" si="60"/>
        <v/>
      </c>
      <c r="S516" s="217" t="str">
        <f t="shared" si="56"/>
        <v/>
      </c>
      <c r="T516" s="218" t="str">
        <f t="shared" si="62"/>
        <v/>
      </c>
      <c r="U516" s="219" t="str">
        <f>IF(S516="","",'Loan Terms'!$H$14)</f>
        <v/>
      </c>
      <c r="V516" s="220" t="str">
        <f t="shared" si="61"/>
        <v/>
      </c>
    </row>
    <row r="517" spans="2:22" ht="14.25" customHeight="1" x14ac:dyDescent="0.2">
      <c r="B517" s="126" t="str">
        <f>IF(OR(B516="",B516='Loan Terms'!$H$9*12),"",B516+1)</f>
        <v/>
      </c>
      <c r="C517" s="128" t="str">
        <f>IF(B517="","",IF('Loan Terms'!$H$15="30/360",30,D517-D516))</f>
        <v/>
      </c>
      <c r="D517" s="129" t="str">
        <f t="shared" si="57"/>
        <v/>
      </c>
      <c r="E517" s="129" t="str">
        <f>IF(B517="","",IF(B517&lt;='Loan Terms'!$G$10,"Yes","No"))</f>
        <v/>
      </c>
      <c r="F517" s="101" t="str">
        <f>IF(B517="","",IF('Loan Terms'!$C$13="Fixed",'Loan Terms'!$H$17,V517))</f>
        <v/>
      </c>
      <c r="G517" s="12" t="str">
        <f t="shared" si="58"/>
        <v/>
      </c>
      <c r="H517" s="12" t="str">
        <f>IF(G517="","",IF('Loan Terms'!$C$13="Fixed",(E517="Yes")*J517+(E517="No")*'Loan Terms'!$H$19,PMT(F517/12,'Loan Terms'!$G$11-B517+1,-G517)))</f>
        <v/>
      </c>
      <c r="I517" s="12" t="str">
        <f>IF(B517="","",IF(B517='Loan Terms'!$H$9*12,G517,H517-J517))</f>
        <v/>
      </c>
      <c r="J517" s="130" t="str">
        <f>IF(B517="","",IF('Loan Terms'!$H$15="Actual/365",F517*(C517/365),F517*(C517/360))*G517)</f>
        <v/>
      </c>
      <c r="K517" s="12" t="str">
        <f t="shared" si="55"/>
        <v/>
      </c>
      <c r="L517" s="130" t="str">
        <f t="shared" si="59"/>
        <v/>
      </c>
      <c r="N517" s="14" t="str">
        <f t="shared" si="60"/>
        <v/>
      </c>
      <c r="S517" s="217" t="str">
        <f t="shared" si="56"/>
        <v/>
      </c>
      <c r="T517" s="218" t="str">
        <f t="shared" si="62"/>
        <v/>
      </c>
      <c r="U517" s="219" t="str">
        <f>IF(S517="","",'Loan Terms'!$H$14)</f>
        <v/>
      </c>
      <c r="V517" s="220" t="str">
        <f t="shared" si="61"/>
        <v/>
      </c>
    </row>
    <row r="518" spans="2:22" ht="14.25" customHeight="1" x14ac:dyDescent="0.2">
      <c r="B518" s="126" t="str">
        <f>IF(OR(B517="",B517='Loan Terms'!$H$9*12),"",B517+1)</f>
        <v/>
      </c>
      <c r="C518" s="128" t="str">
        <f>IF(B518="","",IF('Loan Terms'!$H$15="30/360",30,D518-D517))</f>
        <v/>
      </c>
      <c r="D518" s="129" t="str">
        <f t="shared" si="57"/>
        <v/>
      </c>
      <c r="E518" s="129" t="str">
        <f>IF(B518="","",IF(B518&lt;='Loan Terms'!$G$10,"Yes","No"))</f>
        <v/>
      </c>
      <c r="F518" s="101" t="str">
        <f>IF(B518="","",IF('Loan Terms'!$C$13="Fixed",'Loan Terms'!$H$17,V518))</f>
        <v/>
      </c>
      <c r="G518" s="12" t="str">
        <f t="shared" si="58"/>
        <v/>
      </c>
      <c r="H518" s="12" t="str">
        <f>IF(G518="","",IF('Loan Terms'!$C$13="Fixed",(E518="Yes")*J518+(E518="No")*'Loan Terms'!$H$19,PMT(F518/12,'Loan Terms'!$G$11-B518+1,-G518)))</f>
        <v/>
      </c>
      <c r="I518" s="12" t="str">
        <f>IF(B518="","",IF(B518='Loan Terms'!$H$9*12,G518,H518-J518))</f>
        <v/>
      </c>
      <c r="J518" s="130" t="str">
        <f>IF(B518="","",IF('Loan Terms'!$H$15="Actual/365",F518*(C518/365),F518*(C518/360))*G518)</f>
        <v/>
      </c>
      <c r="K518" s="12" t="str">
        <f t="shared" ref="K518:K581" si="63">IF(B518="","",G518-I518)</f>
        <v/>
      </c>
      <c r="L518" s="130" t="str">
        <f t="shared" si="59"/>
        <v/>
      </c>
      <c r="N518" s="14" t="str">
        <f t="shared" si="60"/>
        <v/>
      </c>
      <c r="S518" s="217" t="str">
        <f t="shared" ref="S518:S581" si="64">D518</f>
        <v/>
      </c>
      <c r="T518" s="218" t="str">
        <f t="shared" si="62"/>
        <v/>
      </c>
      <c r="U518" s="219" t="str">
        <f>IF(S518="","",'Loan Terms'!$H$14)</f>
        <v/>
      </c>
      <c r="V518" s="220" t="str">
        <f t="shared" si="61"/>
        <v/>
      </c>
    </row>
    <row r="519" spans="2:22" ht="14.25" customHeight="1" x14ac:dyDescent="0.2">
      <c r="B519" s="126" t="str">
        <f>IF(OR(B518="",B518='Loan Terms'!$H$9*12),"",B518+1)</f>
        <v/>
      </c>
      <c r="C519" s="128" t="str">
        <f>IF(B519="","",IF('Loan Terms'!$H$15="30/360",30,D519-D518))</f>
        <v/>
      </c>
      <c r="D519" s="129" t="str">
        <f t="shared" ref="D519:D582" si="65">IF(B519="","",EDATE(D518,1))</f>
        <v/>
      </c>
      <c r="E519" s="129" t="str">
        <f>IF(B519="","",IF(B519&lt;='Loan Terms'!$G$10,"Yes","No"))</f>
        <v/>
      </c>
      <c r="F519" s="101" t="str">
        <f>IF(B519="","",IF('Loan Terms'!$C$13="Fixed",'Loan Terms'!$H$17,V519))</f>
        <v/>
      </c>
      <c r="G519" s="12" t="str">
        <f t="shared" ref="G519:G582" si="66">IF(B519="","",K518)</f>
        <v/>
      </c>
      <c r="H519" s="12" t="str">
        <f>IF(G519="","",IF('Loan Terms'!$C$13="Fixed",(E519="Yes")*J519+(E519="No")*'Loan Terms'!$H$19,PMT(F519/12,'Loan Terms'!$G$11-B519+1,-G519)))</f>
        <v/>
      </c>
      <c r="I519" s="12" t="str">
        <f>IF(B519="","",IF(B519='Loan Terms'!$H$9*12,G519,H519-J519))</f>
        <v/>
      </c>
      <c r="J519" s="130" t="str">
        <f>IF(B519="","",IF('Loan Terms'!$H$15="Actual/365",F519*(C519/365),F519*(C519/360))*G519)</f>
        <v/>
      </c>
      <c r="K519" s="12" t="str">
        <f t="shared" si="63"/>
        <v/>
      </c>
      <c r="L519" s="130" t="str">
        <f t="shared" ref="L519:L582" si="67">IF(B519="","",J519+I519)</f>
        <v/>
      </c>
      <c r="N519" s="14" t="str">
        <f t="shared" ref="N519:N582" si="68">IF(B519="","",I519*B519)</f>
        <v/>
      </c>
      <c r="S519" s="217" t="str">
        <f t="shared" si="64"/>
        <v/>
      </c>
      <c r="T519" s="218" t="str">
        <f t="shared" si="62"/>
        <v/>
      </c>
      <c r="U519" s="219" t="str">
        <f>IF(S519="","",'Loan Terms'!$H$14)</f>
        <v/>
      </c>
      <c r="V519" s="220" t="str">
        <f t="shared" ref="V519:V582" si="69">IF(S519="","",T519+U519/10000)</f>
        <v/>
      </c>
    </row>
    <row r="520" spans="2:22" ht="14.25" customHeight="1" x14ac:dyDescent="0.2">
      <c r="B520" s="126" t="str">
        <f>IF(OR(B519="",B519='Loan Terms'!$H$9*12),"",B519+1)</f>
        <v/>
      </c>
      <c r="C520" s="128" t="str">
        <f>IF(B520="","",IF('Loan Terms'!$H$15="30/360",30,D520-D519))</f>
        <v/>
      </c>
      <c r="D520" s="129" t="str">
        <f t="shared" si="65"/>
        <v/>
      </c>
      <c r="E520" s="129" t="str">
        <f>IF(B520="","",IF(B520&lt;='Loan Terms'!$G$10,"Yes","No"))</f>
        <v/>
      </c>
      <c r="F520" s="101" t="str">
        <f>IF(B520="","",IF('Loan Terms'!$C$13="Fixed",'Loan Terms'!$H$17,V520))</f>
        <v/>
      </c>
      <c r="G520" s="12" t="str">
        <f t="shared" si="66"/>
        <v/>
      </c>
      <c r="H520" s="12" t="str">
        <f>IF(G520="","",IF('Loan Terms'!$C$13="Fixed",(E520="Yes")*J520+(E520="No")*'Loan Terms'!$H$19,PMT(F520/12,'Loan Terms'!$G$11-B520+1,-G520)))</f>
        <v/>
      </c>
      <c r="I520" s="12" t="str">
        <f>IF(B520="","",IF(B520='Loan Terms'!$H$9*12,G520,H520-J520))</f>
        <v/>
      </c>
      <c r="J520" s="130" t="str">
        <f>IF(B520="","",IF('Loan Terms'!$H$15="Actual/365",F520*(C520/365),F520*(C520/360))*G520)</f>
        <v/>
      </c>
      <c r="K520" s="12" t="str">
        <f t="shared" si="63"/>
        <v/>
      </c>
      <c r="L520" s="130" t="str">
        <f t="shared" si="67"/>
        <v/>
      </c>
      <c r="N520" s="14" t="str">
        <f t="shared" si="68"/>
        <v/>
      </c>
      <c r="S520" s="217" t="str">
        <f t="shared" si="64"/>
        <v/>
      </c>
      <c r="T520" s="218" t="str">
        <f t="shared" si="62"/>
        <v/>
      </c>
      <c r="U520" s="219" t="str">
        <f>IF(S520="","",'Loan Terms'!$H$14)</f>
        <v/>
      </c>
      <c r="V520" s="220" t="str">
        <f t="shared" si="69"/>
        <v/>
      </c>
    </row>
    <row r="521" spans="2:22" ht="14.25" customHeight="1" x14ac:dyDescent="0.2">
      <c r="B521" s="126" t="str">
        <f>IF(OR(B520="",B520='Loan Terms'!$H$9*12),"",B520+1)</f>
        <v/>
      </c>
      <c r="C521" s="128" t="str">
        <f>IF(B521="","",IF('Loan Terms'!$H$15="30/360",30,D521-D520))</f>
        <v/>
      </c>
      <c r="D521" s="129" t="str">
        <f t="shared" si="65"/>
        <v/>
      </c>
      <c r="E521" s="129" t="str">
        <f>IF(B521="","",IF(B521&lt;='Loan Terms'!$G$10,"Yes","No"))</f>
        <v/>
      </c>
      <c r="F521" s="101" t="str">
        <f>IF(B521="","",IF('Loan Terms'!$C$13="Fixed",'Loan Terms'!$H$17,V521))</f>
        <v/>
      </c>
      <c r="G521" s="12" t="str">
        <f t="shared" si="66"/>
        <v/>
      </c>
      <c r="H521" s="12" t="str">
        <f>IF(G521="","",IF('Loan Terms'!$C$13="Fixed",(E521="Yes")*J521+(E521="No")*'Loan Terms'!$H$19,PMT(F521/12,'Loan Terms'!$G$11-B521+1,-G521)))</f>
        <v/>
      </c>
      <c r="I521" s="12" t="str">
        <f>IF(B521="","",IF(B521='Loan Terms'!$H$9*12,G521,H521-J521))</f>
        <v/>
      </c>
      <c r="J521" s="130" t="str">
        <f>IF(B521="","",IF('Loan Terms'!$H$15="Actual/365",F521*(C521/365),F521*(C521/360))*G521)</f>
        <v/>
      </c>
      <c r="K521" s="12" t="str">
        <f t="shared" si="63"/>
        <v/>
      </c>
      <c r="L521" s="130" t="str">
        <f t="shared" si="67"/>
        <v/>
      </c>
      <c r="N521" s="14" t="str">
        <f t="shared" si="68"/>
        <v/>
      </c>
      <c r="S521" s="217" t="str">
        <f t="shared" si="64"/>
        <v/>
      </c>
      <c r="T521" s="218" t="str">
        <f t="shared" si="62"/>
        <v/>
      </c>
      <c r="U521" s="219" t="str">
        <f>IF(S521="","",'Loan Terms'!$H$14)</f>
        <v/>
      </c>
      <c r="V521" s="220" t="str">
        <f t="shared" si="69"/>
        <v/>
      </c>
    </row>
    <row r="522" spans="2:22" ht="14.25" customHeight="1" x14ac:dyDescent="0.2">
      <c r="B522" s="126" t="str">
        <f>IF(OR(B521="",B521='Loan Terms'!$H$9*12),"",B521+1)</f>
        <v/>
      </c>
      <c r="C522" s="128" t="str">
        <f>IF(B522="","",IF('Loan Terms'!$H$15="30/360",30,D522-D521))</f>
        <v/>
      </c>
      <c r="D522" s="129" t="str">
        <f t="shared" si="65"/>
        <v/>
      </c>
      <c r="E522" s="129" t="str">
        <f>IF(B522="","",IF(B522&lt;='Loan Terms'!$G$10,"Yes","No"))</f>
        <v/>
      </c>
      <c r="F522" s="101" t="str">
        <f>IF(B522="","",IF('Loan Terms'!$C$13="Fixed",'Loan Terms'!$H$17,V522))</f>
        <v/>
      </c>
      <c r="G522" s="12" t="str">
        <f t="shared" si="66"/>
        <v/>
      </c>
      <c r="H522" s="12" t="str">
        <f>IF(G522="","",IF('Loan Terms'!$C$13="Fixed",(E522="Yes")*J522+(E522="No")*'Loan Terms'!$H$19,PMT(F522/12,'Loan Terms'!$G$11-B522+1,-G522)))</f>
        <v/>
      </c>
      <c r="I522" s="12" t="str">
        <f>IF(B522="","",IF(B522='Loan Terms'!$H$9*12,G522,H522-J522))</f>
        <v/>
      </c>
      <c r="J522" s="130" t="str">
        <f>IF(B522="","",IF('Loan Terms'!$H$15="Actual/365",F522*(C522/365),F522*(C522/360))*G522)</f>
        <v/>
      </c>
      <c r="K522" s="12" t="str">
        <f t="shared" si="63"/>
        <v/>
      </c>
      <c r="L522" s="130" t="str">
        <f t="shared" si="67"/>
        <v/>
      </c>
      <c r="N522" s="14" t="str">
        <f t="shared" si="68"/>
        <v/>
      </c>
      <c r="S522" s="217" t="str">
        <f t="shared" si="64"/>
        <v/>
      </c>
      <c r="T522" s="218" t="str">
        <f t="shared" si="62"/>
        <v/>
      </c>
      <c r="U522" s="219" t="str">
        <f>IF(S522="","",'Loan Terms'!$H$14)</f>
        <v/>
      </c>
      <c r="V522" s="220" t="str">
        <f t="shared" si="69"/>
        <v/>
      </c>
    </row>
    <row r="523" spans="2:22" ht="14.25" customHeight="1" x14ac:dyDescent="0.2">
      <c r="B523" s="126" t="str">
        <f>IF(OR(B522="",B522='Loan Terms'!$H$9*12),"",B522+1)</f>
        <v/>
      </c>
      <c r="C523" s="128" t="str">
        <f>IF(B523="","",IF('Loan Terms'!$H$15="30/360",30,D523-D522))</f>
        <v/>
      </c>
      <c r="D523" s="129" t="str">
        <f t="shared" si="65"/>
        <v/>
      </c>
      <c r="E523" s="129" t="str">
        <f>IF(B523="","",IF(B523&lt;='Loan Terms'!$G$10,"Yes","No"))</f>
        <v/>
      </c>
      <c r="F523" s="101" t="str">
        <f>IF(B523="","",IF('Loan Terms'!$C$13="Fixed",'Loan Terms'!$H$17,V523))</f>
        <v/>
      </c>
      <c r="G523" s="12" t="str">
        <f t="shared" si="66"/>
        <v/>
      </c>
      <c r="H523" s="12" t="str">
        <f>IF(G523="","",IF('Loan Terms'!$C$13="Fixed",(E523="Yes")*J523+(E523="No")*'Loan Terms'!$H$19,PMT(F523/12,'Loan Terms'!$G$11-B523+1,-G523)))</f>
        <v/>
      </c>
      <c r="I523" s="12" t="str">
        <f>IF(B523="","",IF(B523='Loan Terms'!$H$9*12,G523,H523-J523))</f>
        <v/>
      </c>
      <c r="J523" s="130" t="str">
        <f>IF(B523="","",IF('Loan Terms'!$H$15="Actual/365",F523*(C523/365),F523*(C523/360))*G523)</f>
        <v/>
      </c>
      <c r="K523" s="12" t="str">
        <f t="shared" si="63"/>
        <v/>
      </c>
      <c r="L523" s="130" t="str">
        <f t="shared" si="67"/>
        <v/>
      </c>
      <c r="N523" s="14" t="str">
        <f t="shared" si="68"/>
        <v/>
      </c>
      <c r="S523" s="217" t="str">
        <f t="shared" si="64"/>
        <v/>
      </c>
      <c r="T523" s="218" t="str">
        <f t="shared" si="62"/>
        <v/>
      </c>
      <c r="U523" s="219" t="str">
        <f>IF(S523="","",'Loan Terms'!$H$14)</f>
        <v/>
      </c>
      <c r="V523" s="220" t="str">
        <f t="shared" si="69"/>
        <v/>
      </c>
    </row>
    <row r="524" spans="2:22" ht="14.25" customHeight="1" x14ac:dyDescent="0.2">
      <c r="B524" s="126" t="str">
        <f>IF(OR(B523="",B523='Loan Terms'!$H$9*12),"",B523+1)</f>
        <v/>
      </c>
      <c r="C524" s="128" t="str">
        <f>IF(B524="","",IF('Loan Terms'!$H$15="30/360",30,D524-D523))</f>
        <v/>
      </c>
      <c r="D524" s="129" t="str">
        <f t="shared" si="65"/>
        <v/>
      </c>
      <c r="E524" s="129" t="str">
        <f>IF(B524="","",IF(B524&lt;='Loan Terms'!$G$10,"Yes","No"))</f>
        <v/>
      </c>
      <c r="F524" s="101" t="str">
        <f>IF(B524="","",IF('Loan Terms'!$C$13="Fixed",'Loan Terms'!$H$17,V524))</f>
        <v/>
      </c>
      <c r="G524" s="12" t="str">
        <f t="shared" si="66"/>
        <v/>
      </c>
      <c r="H524" s="12" t="str">
        <f>IF(G524="","",IF('Loan Terms'!$C$13="Fixed",(E524="Yes")*J524+(E524="No")*'Loan Terms'!$H$19,PMT(F524/12,'Loan Terms'!$G$11-B524+1,-G524)))</f>
        <v/>
      </c>
      <c r="I524" s="12" t="str">
        <f>IF(B524="","",IF(B524='Loan Terms'!$H$9*12,G524,H524-J524))</f>
        <v/>
      </c>
      <c r="J524" s="130" t="str">
        <f>IF(B524="","",IF('Loan Terms'!$H$15="Actual/365",F524*(C524/365),F524*(C524/360))*G524)</f>
        <v/>
      </c>
      <c r="K524" s="12" t="str">
        <f t="shared" si="63"/>
        <v/>
      </c>
      <c r="L524" s="130" t="str">
        <f t="shared" si="67"/>
        <v/>
      </c>
      <c r="N524" s="14" t="str">
        <f t="shared" si="68"/>
        <v/>
      </c>
      <c r="S524" s="217" t="str">
        <f t="shared" si="64"/>
        <v/>
      </c>
      <c r="T524" s="218" t="str">
        <f t="shared" si="62"/>
        <v/>
      </c>
      <c r="U524" s="219" t="str">
        <f>IF(S524="","",'Loan Terms'!$H$14)</f>
        <v/>
      </c>
      <c r="V524" s="220" t="str">
        <f t="shared" si="69"/>
        <v/>
      </c>
    </row>
    <row r="525" spans="2:22" ht="14.25" customHeight="1" x14ac:dyDescent="0.2">
      <c r="B525" s="126" t="str">
        <f>IF(OR(B524="",B524='Loan Terms'!$H$9*12),"",B524+1)</f>
        <v/>
      </c>
      <c r="C525" s="128" t="str">
        <f>IF(B525="","",IF('Loan Terms'!$H$15="30/360",30,D525-D524))</f>
        <v/>
      </c>
      <c r="D525" s="129" t="str">
        <f t="shared" si="65"/>
        <v/>
      </c>
      <c r="E525" s="129" t="str">
        <f>IF(B525="","",IF(B525&lt;='Loan Terms'!$G$10,"Yes","No"))</f>
        <v/>
      </c>
      <c r="F525" s="101" t="str">
        <f>IF(B525="","",IF('Loan Terms'!$C$13="Fixed",'Loan Terms'!$H$17,V525))</f>
        <v/>
      </c>
      <c r="G525" s="12" t="str">
        <f t="shared" si="66"/>
        <v/>
      </c>
      <c r="H525" s="12" t="str">
        <f>IF(G525="","",IF('Loan Terms'!$C$13="Fixed",(E525="Yes")*J525+(E525="No")*'Loan Terms'!$H$19,PMT(F525/12,'Loan Terms'!$G$11-B525+1,-G525)))</f>
        <v/>
      </c>
      <c r="I525" s="12" t="str">
        <f>IF(B525="","",IF(B525='Loan Terms'!$H$9*12,G525,H525-J525))</f>
        <v/>
      </c>
      <c r="J525" s="130" t="str">
        <f>IF(B525="","",IF('Loan Terms'!$H$15="Actual/365",F525*(C525/365),F525*(C525/360))*G525)</f>
        <v/>
      </c>
      <c r="K525" s="12" t="str">
        <f t="shared" si="63"/>
        <v/>
      </c>
      <c r="L525" s="130" t="str">
        <f t="shared" si="67"/>
        <v/>
      </c>
      <c r="N525" s="14" t="str">
        <f t="shared" si="68"/>
        <v/>
      </c>
      <c r="S525" s="217" t="str">
        <f t="shared" si="64"/>
        <v/>
      </c>
      <c r="T525" s="218" t="str">
        <f t="shared" si="62"/>
        <v/>
      </c>
      <c r="U525" s="219" t="str">
        <f>IF(S525="","",'Loan Terms'!$H$14)</f>
        <v/>
      </c>
      <c r="V525" s="220" t="str">
        <f t="shared" si="69"/>
        <v/>
      </c>
    </row>
    <row r="526" spans="2:22" ht="14.25" customHeight="1" x14ac:dyDescent="0.2">
      <c r="B526" s="126" t="str">
        <f>IF(OR(B525="",B525='Loan Terms'!$H$9*12),"",B525+1)</f>
        <v/>
      </c>
      <c r="C526" s="128" t="str">
        <f>IF(B526="","",IF('Loan Terms'!$H$15="30/360",30,D526-D525))</f>
        <v/>
      </c>
      <c r="D526" s="129" t="str">
        <f t="shared" si="65"/>
        <v/>
      </c>
      <c r="E526" s="129" t="str">
        <f>IF(B526="","",IF(B526&lt;='Loan Terms'!$G$10,"Yes","No"))</f>
        <v/>
      </c>
      <c r="F526" s="101" t="str">
        <f>IF(B526="","",IF('Loan Terms'!$C$13="Fixed",'Loan Terms'!$H$17,V526))</f>
        <v/>
      </c>
      <c r="G526" s="12" t="str">
        <f t="shared" si="66"/>
        <v/>
      </c>
      <c r="H526" s="12" t="str">
        <f>IF(G526="","",IF('Loan Terms'!$C$13="Fixed",(E526="Yes")*J526+(E526="No")*'Loan Terms'!$H$19,PMT(F526/12,'Loan Terms'!$G$11-B526+1,-G526)))</f>
        <v/>
      </c>
      <c r="I526" s="12" t="str">
        <f>IF(B526="","",IF(B526='Loan Terms'!$H$9*12,G526,H526-J526))</f>
        <v/>
      </c>
      <c r="J526" s="130" t="str">
        <f>IF(B526="","",IF('Loan Terms'!$H$15="Actual/365",F526*(C526/365),F526*(C526/360))*G526)</f>
        <v/>
      </c>
      <c r="K526" s="12" t="str">
        <f t="shared" si="63"/>
        <v/>
      </c>
      <c r="L526" s="130" t="str">
        <f t="shared" si="67"/>
        <v/>
      </c>
      <c r="N526" s="14" t="str">
        <f t="shared" si="68"/>
        <v/>
      </c>
      <c r="S526" s="217" t="str">
        <f t="shared" si="64"/>
        <v/>
      </c>
      <c r="T526" s="218" t="str">
        <f t="shared" si="62"/>
        <v/>
      </c>
      <c r="U526" s="219" t="str">
        <f>IF(S526="","",'Loan Terms'!$H$14)</f>
        <v/>
      </c>
      <c r="V526" s="220" t="str">
        <f t="shared" si="69"/>
        <v/>
      </c>
    </row>
    <row r="527" spans="2:22" ht="14.25" customHeight="1" x14ac:dyDescent="0.2">
      <c r="B527" s="126" t="str">
        <f>IF(OR(B526="",B526='Loan Terms'!$H$9*12),"",B526+1)</f>
        <v/>
      </c>
      <c r="C527" s="128" t="str">
        <f>IF(B527="","",IF('Loan Terms'!$H$15="30/360",30,D527-D526))</f>
        <v/>
      </c>
      <c r="D527" s="129" t="str">
        <f t="shared" si="65"/>
        <v/>
      </c>
      <c r="E527" s="129" t="str">
        <f>IF(B527="","",IF(B527&lt;='Loan Terms'!$G$10,"Yes","No"))</f>
        <v/>
      </c>
      <c r="F527" s="101" t="str">
        <f>IF(B527="","",IF('Loan Terms'!$C$13="Fixed",'Loan Terms'!$H$17,V527))</f>
        <v/>
      </c>
      <c r="G527" s="12" t="str">
        <f t="shared" si="66"/>
        <v/>
      </c>
      <c r="H527" s="12" t="str">
        <f>IF(G527="","",IF('Loan Terms'!$C$13="Fixed",(E527="Yes")*J527+(E527="No")*'Loan Terms'!$H$19,PMT(F527/12,'Loan Terms'!$G$11-B527+1,-G527)))</f>
        <v/>
      </c>
      <c r="I527" s="12" t="str">
        <f>IF(B527="","",IF(B527='Loan Terms'!$H$9*12,G527,H527-J527))</f>
        <v/>
      </c>
      <c r="J527" s="130" t="str">
        <f>IF(B527="","",IF('Loan Terms'!$H$15="Actual/365",F527*(C527/365),F527*(C527/360))*G527)</f>
        <v/>
      </c>
      <c r="K527" s="12" t="str">
        <f t="shared" si="63"/>
        <v/>
      </c>
      <c r="L527" s="130" t="str">
        <f t="shared" si="67"/>
        <v/>
      </c>
      <c r="N527" s="14" t="str">
        <f t="shared" si="68"/>
        <v/>
      </c>
      <c r="S527" s="217" t="str">
        <f t="shared" si="64"/>
        <v/>
      </c>
      <c r="T527" s="218" t="str">
        <f t="shared" si="62"/>
        <v/>
      </c>
      <c r="U527" s="219" t="str">
        <f>IF(S527="","",'Loan Terms'!$H$14)</f>
        <v/>
      </c>
      <c r="V527" s="220" t="str">
        <f t="shared" si="69"/>
        <v/>
      </c>
    </row>
    <row r="528" spans="2:22" ht="14.25" customHeight="1" x14ac:dyDescent="0.2">
      <c r="B528" s="126" t="str">
        <f>IF(OR(B527="",B527='Loan Terms'!$H$9*12),"",B527+1)</f>
        <v/>
      </c>
      <c r="C528" s="128" t="str">
        <f>IF(B528="","",IF('Loan Terms'!$H$15="30/360",30,D528-D527))</f>
        <v/>
      </c>
      <c r="D528" s="129" t="str">
        <f t="shared" si="65"/>
        <v/>
      </c>
      <c r="E528" s="129" t="str">
        <f>IF(B528="","",IF(B528&lt;='Loan Terms'!$G$10,"Yes","No"))</f>
        <v/>
      </c>
      <c r="F528" s="101" t="str">
        <f>IF(B528="","",IF('Loan Terms'!$C$13="Fixed",'Loan Terms'!$H$17,V528))</f>
        <v/>
      </c>
      <c r="G528" s="12" t="str">
        <f t="shared" si="66"/>
        <v/>
      </c>
      <c r="H528" s="12" t="str">
        <f>IF(G528="","",IF('Loan Terms'!$C$13="Fixed",(E528="Yes")*J528+(E528="No")*'Loan Terms'!$H$19,PMT(F528/12,'Loan Terms'!$G$11-B528+1,-G528)))</f>
        <v/>
      </c>
      <c r="I528" s="12" t="str">
        <f>IF(B528="","",IF(B528='Loan Terms'!$H$9*12,G528,H528-J528))</f>
        <v/>
      </c>
      <c r="J528" s="130" t="str">
        <f>IF(B528="","",IF('Loan Terms'!$H$15="Actual/365",F528*(C528/365),F528*(C528/360))*G528)</f>
        <v/>
      </c>
      <c r="K528" s="12" t="str">
        <f t="shared" si="63"/>
        <v/>
      </c>
      <c r="L528" s="130" t="str">
        <f t="shared" si="67"/>
        <v/>
      </c>
      <c r="N528" s="14" t="str">
        <f t="shared" si="68"/>
        <v/>
      </c>
      <c r="S528" s="217" t="str">
        <f t="shared" si="64"/>
        <v/>
      </c>
      <c r="T528" s="218" t="str">
        <f t="shared" si="62"/>
        <v/>
      </c>
      <c r="U528" s="219" t="str">
        <f>IF(S528="","",'Loan Terms'!$H$14)</f>
        <v/>
      </c>
      <c r="V528" s="220" t="str">
        <f t="shared" si="69"/>
        <v/>
      </c>
    </row>
    <row r="529" spans="2:22" ht="14.25" customHeight="1" x14ac:dyDescent="0.2">
      <c r="B529" s="126" t="str">
        <f>IF(OR(B528="",B528='Loan Terms'!$H$9*12),"",B528+1)</f>
        <v/>
      </c>
      <c r="C529" s="128" t="str">
        <f>IF(B529="","",IF('Loan Terms'!$H$15="30/360",30,D529-D528))</f>
        <v/>
      </c>
      <c r="D529" s="129" t="str">
        <f t="shared" si="65"/>
        <v/>
      </c>
      <c r="E529" s="129" t="str">
        <f>IF(B529="","",IF(B529&lt;='Loan Terms'!$G$10,"Yes","No"))</f>
        <v/>
      </c>
      <c r="F529" s="101" t="str">
        <f>IF(B529="","",IF('Loan Terms'!$C$13="Fixed",'Loan Terms'!$H$17,V529))</f>
        <v/>
      </c>
      <c r="G529" s="12" t="str">
        <f t="shared" si="66"/>
        <v/>
      </c>
      <c r="H529" s="12" t="str">
        <f>IF(G529="","",IF('Loan Terms'!$C$13="Fixed",(E529="Yes")*J529+(E529="No")*'Loan Terms'!$H$19,PMT(F529/12,'Loan Terms'!$G$11-B529+1,-G529)))</f>
        <v/>
      </c>
      <c r="I529" s="12" t="str">
        <f>IF(B529="","",IF(B529='Loan Terms'!$H$9*12,G529,H529-J529))</f>
        <v/>
      </c>
      <c r="J529" s="130" t="str">
        <f>IF(B529="","",IF('Loan Terms'!$H$15="Actual/365",F529*(C529/365),F529*(C529/360))*G529)</f>
        <v/>
      </c>
      <c r="K529" s="12" t="str">
        <f t="shared" si="63"/>
        <v/>
      </c>
      <c r="L529" s="130" t="str">
        <f t="shared" si="67"/>
        <v/>
      </c>
      <c r="N529" s="14" t="str">
        <f t="shared" si="68"/>
        <v/>
      </c>
      <c r="S529" s="217" t="str">
        <f t="shared" si="64"/>
        <v/>
      </c>
      <c r="T529" s="218" t="str">
        <f t="shared" si="62"/>
        <v/>
      </c>
      <c r="U529" s="219" t="str">
        <f>IF(S529="","",'Loan Terms'!$H$14)</f>
        <v/>
      </c>
      <c r="V529" s="220" t="str">
        <f t="shared" si="69"/>
        <v/>
      </c>
    </row>
    <row r="530" spans="2:22" ht="14.25" customHeight="1" x14ac:dyDescent="0.2">
      <c r="B530" s="126" t="str">
        <f>IF(OR(B529="",B529='Loan Terms'!$H$9*12),"",B529+1)</f>
        <v/>
      </c>
      <c r="C530" s="128" t="str">
        <f>IF(B530="","",IF('Loan Terms'!$H$15="30/360",30,D530-D529))</f>
        <v/>
      </c>
      <c r="D530" s="129" t="str">
        <f t="shared" si="65"/>
        <v/>
      </c>
      <c r="E530" s="129" t="str">
        <f>IF(B530="","",IF(B530&lt;='Loan Terms'!$G$10,"Yes","No"))</f>
        <v/>
      </c>
      <c r="F530" s="101" t="str">
        <f>IF(B530="","",IF('Loan Terms'!$C$13="Fixed",'Loan Terms'!$H$17,V530))</f>
        <v/>
      </c>
      <c r="G530" s="12" t="str">
        <f t="shared" si="66"/>
        <v/>
      </c>
      <c r="H530" s="12" t="str">
        <f>IF(G530="","",IF('Loan Terms'!$C$13="Fixed",(E530="Yes")*J530+(E530="No")*'Loan Terms'!$H$19,PMT(F530/12,'Loan Terms'!$G$11-B530+1,-G530)))</f>
        <v/>
      </c>
      <c r="I530" s="12" t="str">
        <f>IF(B530="","",IF(B530='Loan Terms'!$H$9*12,G530,H530-J530))</f>
        <v/>
      </c>
      <c r="J530" s="130" t="str">
        <f>IF(B530="","",IF('Loan Terms'!$H$15="Actual/365",F530*(C530/365),F530*(C530/360))*G530)</f>
        <v/>
      </c>
      <c r="K530" s="12" t="str">
        <f t="shared" si="63"/>
        <v/>
      </c>
      <c r="L530" s="130" t="str">
        <f t="shared" si="67"/>
        <v/>
      </c>
      <c r="N530" s="14" t="str">
        <f t="shared" si="68"/>
        <v/>
      </c>
      <c r="S530" s="217" t="str">
        <f t="shared" si="64"/>
        <v/>
      </c>
      <c r="T530" s="218" t="str">
        <f t="shared" si="62"/>
        <v/>
      </c>
      <c r="U530" s="219" t="str">
        <f>IF(S530="","",'Loan Terms'!$H$14)</f>
        <v/>
      </c>
      <c r="V530" s="220" t="str">
        <f t="shared" si="69"/>
        <v/>
      </c>
    </row>
    <row r="531" spans="2:22" ht="14.25" customHeight="1" x14ac:dyDescent="0.2">
      <c r="B531" s="126" t="str">
        <f>IF(OR(B530="",B530='Loan Terms'!$H$9*12),"",B530+1)</f>
        <v/>
      </c>
      <c r="C531" s="128" t="str">
        <f>IF(B531="","",IF('Loan Terms'!$H$15="30/360",30,D531-D530))</f>
        <v/>
      </c>
      <c r="D531" s="129" t="str">
        <f t="shared" si="65"/>
        <v/>
      </c>
      <c r="E531" s="129" t="str">
        <f>IF(B531="","",IF(B531&lt;='Loan Terms'!$G$10,"Yes","No"))</f>
        <v/>
      </c>
      <c r="F531" s="101" t="str">
        <f>IF(B531="","",IF('Loan Terms'!$C$13="Fixed",'Loan Terms'!$H$17,V531))</f>
        <v/>
      </c>
      <c r="G531" s="12" t="str">
        <f t="shared" si="66"/>
        <v/>
      </c>
      <c r="H531" s="12" t="str">
        <f>IF(G531="","",IF('Loan Terms'!$C$13="Fixed",(E531="Yes")*J531+(E531="No")*'Loan Terms'!$H$19,PMT(F531/12,'Loan Terms'!$G$11-B531+1,-G531)))</f>
        <v/>
      </c>
      <c r="I531" s="12" t="str">
        <f>IF(B531="","",IF(B531='Loan Terms'!$H$9*12,G531,H531-J531))</f>
        <v/>
      </c>
      <c r="J531" s="130" t="str">
        <f>IF(B531="","",IF('Loan Terms'!$H$15="Actual/365",F531*(C531/365),F531*(C531/360))*G531)</f>
        <v/>
      </c>
      <c r="K531" s="12" t="str">
        <f t="shared" si="63"/>
        <v/>
      </c>
      <c r="L531" s="130" t="str">
        <f t="shared" si="67"/>
        <v/>
      </c>
      <c r="N531" s="14" t="str">
        <f t="shared" si="68"/>
        <v/>
      </c>
      <c r="S531" s="217" t="str">
        <f t="shared" si="64"/>
        <v/>
      </c>
      <c r="T531" s="218" t="str">
        <f t="shared" si="62"/>
        <v/>
      </c>
      <c r="U531" s="219" t="str">
        <f>IF(S531="","",'Loan Terms'!$H$14)</f>
        <v/>
      </c>
      <c r="V531" s="220" t="str">
        <f t="shared" si="69"/>
        <v/>
      </c>
    </row>
    <row r="532" spans="2:22" ht="14.25" customHeight="1" x14ac:dyDescent="0.2">
      <c r="B532" s="126" t="str">
        <f>IF(OR(B531="",B531='Loan Terms'!$H$9*12),"",B531+1)</f>
        <v/>
      </c>
      <c r="C532" s="128" t="str">
        <f>IF(B532="","",IF('Loan Terms'!$H$15="30/360",30,D532-D531))</f>
        <v/>
      </c>
      <c r="D532" s="129" t="str">
        <f t="shared" si="65"/>
        <v/>
      </c>
      <c r="E532" s="129" t="str">
        <f>IF(B532="","",IF(B532&lt;='Loan Terms'!$G$10,"Yes","No"))</f>
        <v/>
      </c>
      <c r="F532" s="101" t="str">
        <f>IF(B532="","",IF('Loan Terms'!$C$13="Fixed",'Loan Terms'!$H$17,V532))</f>
        <v/>
      </c>
      <c r="G532" s="12" t="str">
        <f t="shared" si="66"/>
        <v/>
      </c>
      <c r="H532" s="12" t="str">
        <f>IF(G532="","",IF('Loan Terms'!$C$13="Fixed",(E532="Yes")*J532+(E532="No")*'Loan Terms'!$H$19,PMT(F532/12,'Loan Terms'!$G$11-B532+1,-G532)))</f>
        <v/>
      </c>
      <c r="I532" s="12" t="str">
        <f>IF(B532="","",IF(B532='Loan Terms'!$H$9*12,G532,H532-J532))</f>
        <v/>
      </c>
      <c r="J532" s="130" t="str">
        <f>IF(B532="","",IF('Loan Terms'!$H$15="Actual/365",F532*(C532/365),F532*(C532/360))*G532)</f>
        <v/>
      </c>
      <c r="K532" s="12" t="str">
        <f t="shared" si="63"/>
        <v/>
      </c>
      <c r="L532" s="130" t="str">
        <f t="shared" si="67"/>
        <v/>
      </c>
      <c r="N532" s="14" t="str">
        <f t="shared" si="68"/>
        <v/>
      </c>
      <c r="S532" s="217" t="str">
        <f t="shared" si="64"/>
        <v/>
      </c>
      <c r="T532" s="218" t="str">
        <f t="shared" si="62"/>
        <v/>
      </c>
      <c r="U532" s="219" t="str">
        <f>IF(S532="","",'Loan Terms'!$H$14)</f>
        <v/>
      </c>
      <c r="V532" s="220" t="str">
        <f t="shared" si="69"/>
        <v/>
      </c>
    </row>
    <row r="533" spans="2:22" ht="14.25" customHeight="1" x14ac:dyDescent="0.2">
      <c r="B533" s="126" t="str">
        <f>IF(OR(B532="",B532='Loan Terms'!$H$9*12),"",B532+1)</f>
        <v/>
      </c>
      <c r="C533" s="128" t="str">
        <f>IF(B533="","",IF('Loan Terms'!$H$15="30/360",30,D533-D532))</f>
        <v/>
      </c>
      <c r="D533" s="129" t="str">
        <f t="shared" si="65"/>
        <v/>
      </c>
      <c r="E533" s="129" t="str">
        <f>IF(B533="","",IF(B533&lt;='Loan Terms'!$G$10,"Yes","No"))</f>
        <v/>
      </c>
      <c r="F533" s="101" t="str">
        <f>IF(B533="","",IF('Loan Terms'!$C$13="Fixed",'Loan Terms'!$H$17,V533))</f>
        <v/>
      </c>
      <c r="G533" s="12" t="str">
        <f t="shared" si="66"/>
        <v/>
      </c>
      <c r="H533" s="12" t="str">
        <f>IF(G533="","",IF('Loan Terms'!$C$13="Fixed",(E533="Yes")*J533+(E533="No")*'Loan Terms'!$H$19,PMT(F533/12,'Loan Terms'!$G$11-B533+1,-G533)))</f>
        <v/>
      </c>
      <c r="I533" s="12" t="str">
        <f>IF(B533="","",IF(B533='Loan Terms'!$H$9*12,G533,H533-J533))</f>
        <v/>
      </c>
      <c r="J533" s="130" t="str">
        <f>IF(B533="","",IF('Loan Terms'!$H$15="Actual/365",F533*(C533/365),F533*(C533/360))*G533)</f>
        <v/>
      </c>
      <c r="K533" s="12" t="str">
        <f t="shared" si="63"/>
        <v/>
      </c>
      <c r="L533" s="130" t="str">
        <f t="shared" si="67"/>
        <v/>
      </c>
      <c r="N533" s="14" t="str">
        <f t="shared" si="68"/>
        <v/>
      </c>
      <c r="S533" s="217" t="str">
        <f t="shared" si="64"/>
        <v/>
      </c>
      <c r="T533" s="218" t="str">
        <f t="shared" si="62"/>
        <v/>
      </c>
      <c r="U533" s="219" t="str">
        <f>IF(S533="","",'Loan Terms'!$H$14)</f>
        <v/>
      </c>
      <c r="V533" s="220" t="str">
        <f t="shared" si="69"/>
        <v/>
      </c>
    </row>
    <row r="534" spans="2:22" ht="14.25" customHeight="1" x14ac:dyDescent="0.2">
      <c r="B534" s="126" t="str">
        <f>IF(OR(B533="",B533='Loan Terms'!$H$9*12),"",B533+1)</f>
        <v/>
      </c>
      <c r="C534" s="128" t="str">
        <f>IF(B534="","",IF('Loan Terms'!$H$15="30/360",30,D534-D533))</f>
        <v/>
      </c>
      <c r="D534" s="129" t="str">
        <f t="shared" si="65"/>
        <v/>
      </c>
      <c r="E534" s="129" t="str">
        <f>IF(B534="","",IF(B534&lt;='Loan Terms'!$G$10,"Yes","No"))</f>
        <v/>
      </c>
      <c r="F534" s="101" t="str">
        <f>IF(B534="","",IF('Loan Terms'!$C$13="Fixed",'Loan Terms'!$H$17,V534))</f>
        <v/>
      </c>
      <c r="G534" s="12" t="str">
        <f t="shared" si="66"/>
        <v/>
      </c>
      <c r="H534" s="12" t="str">
        <f>IF(G534="","",IF('Loan Terms'!$C$13="Fixed",(E534="Yes")*J534+(E534="No")*'Loan Terms'!$H$19,PMT(F534/12,'Loan Terms'!$G$11-B534+1,-G534)))</f>
        <v/>
      </c>
      <c r="I534" s="12" t="str">
        <f>IF(B534="","",IF(B534='Loan Terms'!$H$9*12,G534,H534-J534))</f>
        <v/>
      </c>
      <c r="J534" s="130" t="str">
        <f>IF(B534="","",IF('Loan Terms'!$H$15="Actual/365",F534*(C534/365),F534*(C534/360))*G534)</f>
        <v/>
      </c>
      <c r="K534" s="12" t="str">
        <f t="shared" si="63"/>
        <v/>
      </c>
      <c r="L534" s="130" t="str">
        <f t="shared" si="67"/>
        <v/>
      </c>
      <c r="N534" s="14" t="str">
        <f t="shared" si="68"/>
        <v/>
      </c>
      <c r="S534" s="217" t="str">
        <f t="shared" si="64"/>
        <v/>
      </c>
      <c r="T534" s="218" t="str">
        <f t="shared" si="62"/>
        <v/>
      </c>
      <c r="U534" s="219" t="str">
        <f>IF(S534="","",'Loan Terms'!$H$14)</f>
        <v/>
      </c>
      <c r="V534" s="220" t="str">
        <f t="shared" si="69"/>
        <v/>
      </c>
    </row>
    <row r="535" spans="2:22" ht="14.25" customHeight="1" x14ac:dyDescent="0.2">
      <c r="B535" s="126" t="str">
        <f>IF(OR(B534="",B534='Loan Terms'!$H$9*12),"",B534+1)</f>
        <v/>
      </c>
      <c r="C535" s="128" t="str">
        <f>IF(B535="","",IF('Loan Terms'!$H$15="30/360",30,D535-D534))</f>
        <v/>
      </c>
      <c r="D535" s="129" t="str">
        <f t="shared" si="65"/>
        <v/>
      </c>
      <c r="E535" s="129" t="str">
        <f>IF(B535="","",IF(B535&lt;='Loan Terms'!$G$10,"Yes","No"))</f>
        <v/>
      </c>
      <c r="F535" s="101" t="str">
        <f>IF(B535="","",IF('Loan Terms'!$C$13="Fixed",'Loan Terms'!$H$17,V535))</f>
        <v/>
      </c>
      <c r="G535" s="12" t="str">
        <f t="shared" si="66"/>
        <v/>
      </c>
      <c r="H535" s="12" t="str">
        <f>IF(G535="","",IF('Loan Terms'!$C$13="Fixed",(E535="Yes")*J535+(E535="No")*'Loan Terms'!$H$19,PMT(F535/12,'Loan Terms'!$G$11-B535+1,-G535)))</f>
        <v/>
      </c>
      <c r="I535" s="12" t="str">
        <f>IF(B535="","",IF(B535='Loan Terms'!$H$9*12,G535,H535-J535))</f>
        <v/>
      </c>
      <c r="J535" s="130" t="str">
        <f>IF(B535="","",IF('Loan Terms'!$H$15="Actual/365",F535*(C535/365),F535*(C535/360))*G535)</f>
        <v/>
      </c>
      <c r="K535" s="12" t="str">
        <f t="shared" si="63"/>
        <v/>
      </c>
      <c r="L535" s="130" t="str">
        <f t="shared" si="67"/>
        <v/>
      </c>
      <c r="N535" s="14" t="str">
        <f t="shared" si="68"/>
        <v/>
      </c>
      <c r="S535" s="217" t="str">
        <f t="shared" si="64"/>
        <v/>
      </c>
      <c r="T535" s="218" t="str">
        <f t="shared" si="62"/>
        <v/>
      </c>
      <c r="U535" s="219" t="str">
        <f>IF(S535="","",'Loan Terms'!$H$14)</f>
        <v/>
      </c>
      <c r="V535" s="220" t="str">
        <f t="shared" si="69"/>
        <v/>
      </c>
    </row>
    <row r="536" spans="2:22" ht="14.25" customHeight="1" x14ac:dyDescent="0.2">
      <c r="B536" s="126" t="str">
        <f>IF(OR(B535="",B535='Loan Terms'!$H$9*12),"",B535+1)</f>
        <v/>
      </c>
      <c r="C536" s="128" t="str">
        <f>IF(B536="","",IF('Loan Terms'!$H$15="30/360",30,D536-D535))</f>
        <v/>
      </c>
      <c r="D536" s="129" t="str">
        <f t="shared" si="65"/>
        <v/>
      </c>
      <c r="E536" s="129" t="str">
        <f>IF(B536="","",IF(B536&lt;='Loan Terms'!$G$10,"Yes","No"))</f>
        <v/>
      </c>
      <c r="F536" s="101" t="str">
        <f>IF(B536="","",IF('Loan Terms'!$C$13="Fixed",'Loan Terms'!$H$17,V536))</f>
        <v/>
      </c>
      <c r="G536" s="12" t="str">
        <f t="shared" si="66"/>
        <v/>
      </c>
      <c r="H536" s="12" t="str">
        <f>IF(G536="","",IF('Loan Terms'!$C$13="Fixed",(E536="Yes")*J536+(E536="No")*'Loan Terms'!$H$19,PMT(F536/12,'Loan Terms'!$G$11-B536+1,-G536)))</f>
        <v/>
      </c>
      <c r="I536" s="12" t="str">
        <f>IF(B536="","",IF(B536='Loan Terms'!$H$9*12,G536,H536-J536))</f>
        <v/>
      </c>
      <c r="J536" s="130" t="str">
        <f>IF(B536="","",IF('Loan Terms'!$H$15="Actual/365",F536*(C536/365),F536*(C536/360))*G536)</f>
        <v/>
      </c>
      <c r="K536" s="12" t="str">
        <f t="shared" si="63"/>
        <v/>
      </c>
      <c r="L536" s="130" t="str">
        <f t="shared" si="67"/>
        <v/>
      </c>
      <c r="N536" s="14" t="str">
        <f t="shared" si="68"/>
        <v/>
      </c>
      <c r="S536" s="217" t="str">
        <f t="shared" si="64"/>
        <v/>
      </c>
      <c r="T536" s="218" t="str">
        <f t="shared" si="62"/>
        <v/>
      </c>
      <c r="U536" s="219" t="str">
        <f>IF(S536="","",'Loan Terms'!$H$14)</f>
        <v/>
      </c>
      <c r="V536" s="220" t="str">
        <f t="shared" si="69"/>
        <v/>
      </c>
    </row>
    <row r="537" spans="2:22" ht="14.25" customHeight="1" x14ac:dyDescent="0.2">
      <c r="B537" s="126" t="str">
        <f>IF(OR(B536="",B536='Loan Terms'!$H$9*12),"",B536+1)</f>
        <v/>
      </c>
      <c r="C537" s="128" t="str">
        <f>IF(B537="","",IF('Loan Terms'!$H$15="30/360",30,D537-D536))</f>
        <v/>
      </c>
      <c r="D537" s="129" t="str">
        <f t="shared" si="65"/>
        <v/>
      </c>
      <c r="E537" s="129" t="str">
        <f>IF(B537="","",IF(B537&lt;='Loan Terms'!$G$10,"Yes","No"))</f>
        <v/>
      </c>
      <c r="F537" s="101" t="str">
        <f>IF(B537="","",IF('Loan Terms'!$C$13="Fixed",'Loan Terms'!$H$17,V537))</f>
        <v/>
      </c>
      <c r="G537" s="12" t="str">
        <f t="shared" si="66"/>
        <v/>
      </c>
      <c r="H537" s="12" t="str">
        <f>IF(G537="","",IF('Loan Terms'!$C$13="Fixed",(E537="Yes")*J537+(E537="No")*'Loan Terms'!$H$19,PMT(F537/12,'Loan Terms'!$G$11-B537+1,-G537)))</f>
        <v/>
      </c>
      <c r="I537" s="12" t="str">
        <f>IF(B537="","",IF(B537='Loan Terms'!$H$9*12,G537,H537-J537))</f>
        <v/>
      </c>
      <c r="J537" s="130" t="str">
        <f>IF(B537="","",IF('Loan Terms'!$H$15="Actual/365",F537*(C537/365),F537*(C537/360))*G537)</f>
        <v/>
      </c>
      <c r="K537" s="12" t="str">
        <f t="shared" si="63"/>
        <v/>
      </c>
      <c r="L537" s="130" t="str">
        <f t="shared" si="67"/>
        <v/>
      </c>
      <c r="N537" s="14" t="str">
        <f t="shared" si="68"/>
        <v/>
      </c>
      <c r="S537" s="217" t="str">
        <f t="shared" si="64"/>
        <v/>
      </c>
      <c r="T537" s="218" t="str">
        <f t="shared" si="62"/>
        <v/>
      </c>
      <c r="U537" s="219" t="str">
        <f>IF(S537="","",'Loan Terms'!$H$14)</f>
        <v/>
      </c>
      <c r="V537" s="220" t="str">
        <f t="shared" si="69"/>
        <v/>
      </c>
    </row>
    <row r="538" spans="2:22" ht="14.25" customHeight="1" x14ac:dyDescent="0.2">
      <c r="B538" s="126" t="str">
        <f>IF(OR(B537="",B537='Loan Terms'!$H$9*12),"",B537+1)</f>
        <v/>
      </c>
      <c r="C538" s="128" t="str">
        <f>IF(B538="","",IF('Loan Terms'!$H$15="30/360",30,D538-D537))</f>
        <v/>
      </c>
      <c r="D538" s="129" t="str">
        <f t="shared" si="65"/>
        <v/>
      </c>
      <c r="E538" s="129" t="str">
        <f>IF(B538="","",IF(B538&lt;='Loan Terms'!$G$10,"Yes","No"))</f>
        <v/>
      </c>
      <c r="F538" s="101" t="str">
        <f>IF(B538="","",IF('Loan Terms'!$C$13="Fixed",'Loan Terms'!$H$17,V538))</f>
        <v/>
      </c>
      <c r="G538" s="12" t="str">
        <f t="shared" si="66"/>
        <v/>
      </c>
      <c r="H538" s="12" t="str">
        <f>IF(G538="","",IF('Loan Terms'!$C$13="Fixed",(E538="Yes")*J538+(E538="No")*'Loan Terms'!$H$19,PMT(F538/12,'Loan Terms'!$G$11-B538+1,-G538)))</f>
        <v/>
      </c>
      <c r="I538" s="12" t="str">
        <f>IF(B538="","",IF(B538='Loan Terms'!$H$9*12,G538,H538-J538))</f>
        <v/>
      </c>
      <c r="J538" s="130" t="str">
        <f>IF(B538="","",IF('Loan Terms'!$H$15="Actual/365",F538*(C538/365),F538*(C538/360))*G538)</f>
        <v/>
      </c>
      <c r="K538" s="12" t="str">
        <f t="shared" si="63"/>
        <v/>
      </c>
      <c r="L538" s="130" t="str">
        <f t="shared" si="67"/>
        <v/>
      </c>
      <c r="N538" s="14" t="str">
        <f t="shared" si="68"/>
        <v/>
      </c>
      <c r="S538" s="217" t="str">
        <f t="shared" si="64"/>
        <v/>
      </c>
      <c r="T538" s="218" t="str">
        <f t="shared" si="62"/>
        <v/>
      </c>
      <c r="U538" s="219" t="str">
        <f>IF(S538="","",'Loan Terms'!$H$14)</f>
        <v/>
      </c>
      <c r="V538" s="220" t="str">
        <f t="shared" si="69"/>
        <v/>
      </c>
    </row>
    <row r="539" spans="2:22" ht="14.25" customHeight="1" x14ac:dyDescent="0.2">
      <c r="B539" s="126" t="str">
        <f>IF(OR(B538="",B538='Loan Terms'!$H$9*12),"",B538+1)</f>
        <v/>
      </c>
      <c r="C539" s="128" t="str">
        <f>IF(B539="","",IF('Loan Terms'!$H$15="30/360",30,D539-D538))</f>
        <v/>
      </c>
      <c r="D539" s="129" t="str">
        <f t="shared" si="65"/>
        <v/>
      </c>
      <c r="E539" s="129" t="str">
        <f>IF(B539="","",IF(B539&lt;='Loan Terms'!$G$10,"Yes","No"))</f>
        <v/>
      </c>
      <c r="F539" s="101" t="str">
        <f>IF(B539="","",IF('Loan Terms'!$C$13="Fixed",'Loan Terms'!$H$17,V539))</f>
        <v/>
      </c>
      <c r="G539" s="12" t="str">
        <f t="shared" si="66"/>
        <v/>
      </c>
      <c r="H539" s="12" t="str">
        <f>IF(G539="","",IF('Loan Terms'!$C$13="Fixed",(E539="Yes")*J539+(E539="No")*'Loan Terms'!$H$19,PMT(F539/12,'Loan Terms'!$G$11-B539+1,-G539)))</f>
        <v/>
      </c>
      <c r="I539" s="12" t="str">
        <f>IF(B539="","",IF(B539='Loan Terms'!$H$9*12,G539,H539-J539))</f>
        <v/>
      </c>
      <c r="J539" s="130" t="str">
        <f>IF(B539="","",IF('Loan Terms'!$H$15="Actual/365",F539*(C539/365),F539*(C539/360))*G539)</f>
        <v/>
      </c>
      <c r="K539" s="12" t="str">
        <f t="shared" si="63"/>
        <v/>
      </c>
      <c r="L539" s="130" t="str">
        <f t="shared" si="67"/>
        <v/>
      </c>
      <c r="N539" s="14" t="str">
        <f t="shared" si="68"/>
        <v/>
      </c>
      <c r="S539" s="217" t="str">
        <f t="shared" si="64"/>
        <v/>
      </c>
      <c r="T539" s="218" t="str">
        <f t="shared" si="62"/>
        <v/>
      </c>
      <c r="U539" s="219" t="str">
        <f>IF(S539="","",'Loan Terms'!$H$14)</f>
        <v/>
      </c>
      <c r="V539" s="220" t="str">
        <f t="shared" si="69"/>
        <v/>
      </c>
    </row>
    <row r="540" spans="2:22" ht="14.25" customHeight="1" x14ac:dyDescent="0.2">
      <c r="B540" s="126" t="str">
        <f>IF(OR(B539="",B539='Loan Terms'!$H$9*12),"",B539+1)</f>
        <v/>
      </c>
      <c r="C540" s="128" t="str">
        <f>IF(B540="","",IF('Loan Terms'!$H$15="30/360",30,D540-D539))</f>
        <v/>
      </c>
      <c r="D540" s="129" t="str">
        <f t="shared" si="65"/>
        <v/>
      </c>
      <c r="E540" s="129" t="str">
        <f>IF(B540="","",IF(B540&lt;='Loan Terms'!$G$10,"Yes","No"))</f>
        <v/>
      </c>
      <c r="F540" s="101" t="str">
        <f>IF(B540="","",IF('Loan Terms'!$C$13="Fixed",'Loan Terms'!$H$17,V540))</f>
        <v/>
      </c>
      <c r="G540" s="12" t="str">
        <f t="shared" si="66"/>
        <v/>
      </c>
      <c r="H540" s="12" t="str">
        <f>IF(G540="","",IF('Loan Terms'!$C$13="Fixed",(E540="Yes")*J540+(E540="No")*'Loan Terms'!$H$19,PMT(F540/12,'Loan Terms'!$G$11-B540+1,-G540)))</f>
        <v/>
      </c>
      <c r="I540" s="12" t="str">
        <f>IF(B540="","",IF(B540='Loan Terms'!$H$9*12,G540,H540-J540))</f>
        <v/>
      </c>
      <c r="J540" s="130" t="str">
        <f>IF(B540="","",IF('Loan Terms'!$H$15="Actual/365",F540*(C540/365),F540*(C540/360))*G540)</f>
        <v/>
      </c>
      <c r="K540" s="12" t="str">
        <f t="shared" si="63"/>
        <v/>
      </c>
      <c r="L540" s="130" t="str">
        <f t="shared" si="67"/>
        <v/>
      </c>
      <c r="N540" s="14" t="str">
        <f t="shared" si="68"/>
        <v/>
      </c>
      <c r="S540" s="217" t="str">
        <f t="shared" si="64"/>
        <v/>
      </c>
      <c r="T540" s="218" t="str">
        <f t="shared" si="62"/>
        <v/>
      </c>
      <c r="U540" s="219" t="str">
        <f>IF(S540="","",'Loan Terms'!$H$14)</f>
        <v/>
      </c>
      <c r="V540" s="220" t="str">
        <f t="shared" si="69"/>
        <v/>
      </c>
    </row>
    <row r="541" spans="2:22" ht="14.25" customHeight="1" x14ac:dyDescent="0.2">
      <c r="B541" s="126" t="str">
        <f>IF(OR(B540="",B540='Loan Terms'!$H$9*12),"",B540+1)</f>
        <v/>
      </c>
      <c r="C541" s="128" t="str">
        <f>IF(B541="","",IF('Loan Terms'!$H$15="30/360",30,D541-D540))</f>
        <v/>
      </c>
      <c r="D541" s="129" t="str">
        <f t="shared" si="65"/>
        <v/>
      </c>
      <c r="E541" s="129" t="str">
        <f>IF(B541="","",IF(B541&lt;='Loan Terms'!$G$10,"Yes","No"))</f>
        <v/>
      </c>
      <c r="F541" s="101" t="str">
        <f>IF(B541="","",IF('Loan Terms'!$C$13="Fixed",'Loan Terms'!$H$17,V541))</f>
        <v/>
      </c>
      <c r="G541" s="12" t="str">
        <f t="shared" si="66"/>
        <v/>
      </c>
      <c r="H541" s="12" t="str">
        <f>IF(G541="","",IF('Loan Terms'!$C$13="Fixed",(E541="Yes")*J541+(E541="No")*'Loan Terms'!$H$19,PMT(F541/12,'Loan Terms'!$G$11-B541+1,-G541)))</f>
        <v/>
      </c>
      <c r="I541" s="12" t="str">
        <f>IF(B541="","",IF(B541='Loan Terms'!$H$9*12,G541,H541-J541))</f>
        <v/>
      </c>
      <c r="J541" s="130" t="str">
        <f>IF(B541="","",IF('Loan Terms'!$H$15="Actual/365",F541*(C541/365),F541*(C541/360))*G541)</f>
        <v/>
      </c>
      <c r="K541" s="12" t="str">
        <f t="shared" si="63"/>
        <v/>
      </c>
      <c r="L541" s="130" t="str">
        <f t="shared" si="67"/>
        <v/>
      </c>
      <c r="N541" s="14" t="str">
        <f t="shared" si="68"/>
        <v/>
      </c>
      <c r="S541" s="217" t="str">
        <f t="shared" si="64"/>
        <v/>
      </c>
      <c r="T541" s="218" t="str">
        <f t="shared" si="62"/>
        <v/>
      </c>
      <c r="U541" s="219" t="str">
        <f>IF(S541="","",'Loan Terms'!$H$14)</f>
        <v/>
      </c>
      <c r="V541" s="220" t="str">
        <f t="shared" si="69"/>
        <v/>
      </c>
    </row>
    <row r="542" spans="2:22" ht="14.25" customHeight="1" x14ac:dyDescent="0.2">
      <c r="B542" s="126" t="str">
        <f>IF(OR(B541="",B541='Loan Terms'!$H$9*12),"",B541+1)</f>
        <v/>
      </c>
      <c r="C542" s="128" t="str">
        <f>IF(B542="","",IF('Loan Terms'!$H$15="30/360",30,D542-D541))</f>
        <v/>
      </c>
      <c r="D542" s="129" t="str">
        <f t="shared" si="65"/>
        <v/>
      </c>
      <c r="E542" s="129" t="str">
        <f>IF(B542="","",IF(B542&lt;='Loan Terms'!$G$10,"Yes","No"))</f>
        <v/>
      </c>
      <c r="F542" s="101" t="str">
        <f>IF(B542="","",IF('Loan Terms'!$C$13="Fixed",'Loan Terms'!$H$17,V542))</f>
        <v/>
      </c>
      <c r="G542" s="12" t="str">
        <f t="shared" si="66"/>
        <v/>
      </c>
      <c r="H542" s="12" t="str">
        <f>IF(G542="","",IF('Loan Terms'!$C$13="Fixed",(E542="Yes")*J542+(E542="No")*'Loan Terms'!$H$19,PMT(F542/12,'Loan Terms'!$G$11-B542+1,-G542)))</f>
        <v/>
      </c>
      <c r="I542" s="12" t="str">
        <f>IF(B542="","",IF(B542='Loan Terms'!$H$9*12,G542,H542-J542))</f>
        <v/>
      </c>
      <c r="J542" s="130" t="str">
        <f>IF(B542="","",IF('Loan Terms'!$H$15="Actual/365",F542*(C542/365),F542*(C542/360))*G542)</f>
        <v/>
      </c>
      <c r="K542" s="12" t="str">
        <f t="shared" si="63"/>
        <v/>
      </c>
      <c r="L542" s="130" t="str">
        <f t="shared" si="67"/>
        <v/>
      </c>
      <c r="N542" s="14" t="str">
        <f t="shared" si="68"/>
        <v/>
      </c>
      <c r="S542" s="217" t="str">
        <f t="shared" si="64"/>
        <v/>
      </c>
      <c r="T542" s="218" t="str">
        <f t="shared" si="62"/>
        <v/>
      </c>
      <c r="U542" s="219" t="str">
        <f>IF(S542="","",'Loan Terms'!$H$14)</f>
        <v/>
      </c>
      <c r="V542" s="220" t="str">
        <f t="shared" si="69"/>
        <v/>
      </c>
    </row>
    <row r="543" spans="2:22" ht="14.25" customHeight="1" x14ac:dyDescent="0.2">
      <c r="B543" s="126" t="str">
        <f>IF(OR(B542="",B542='Loan Terms'!$H$9*12),"",B542+1)</f>
        <v/>
      </c>
      <c r="C543" s="128" t="str">
        <f>IF(B543="","",IF('Loan Terms'!$H$15="30/360",30,D543-D542))</f>
        <v/>
      </c>
      <c r="D543" s="129" t="str">
        <f t="shared" si="65"/>
        <v/>
      </c>
      <c r="E543" s="129" t="str">
        <f>IF(B543="","",IF(B543&lt;='Loan Terms'!$G$10,"Yes","No"))</f>
        <v/>
      </c>
      <c r="F543" s="101" t="str">
        <f>IF(B543="","",IF('Loan Terms'!$C$13="Fixed",'Loan Terms'!$H$17,V543))</f>
        <v/>
      </c>
      <c r="G543" s="12" t="str">
        <f t="shared" si="66"/>
        <v/>
      </c>
      <c r="H543" s="12" t="str">
        <f>IF(G543="","",IF('Loan Terms'!$C$13="Fixed",(E543="Yes")*J543+(E543="No")*'Loan Terms'!$H$19,PMT(F543/12,'Loan Terms'!$G$11-B543+1,-G543)))</f>
        <v/>
      </c>
      <c r="I543" s="12" t="str">
        <f>IF(B543="","",IF(B543='Loan Terms'!$H$9*12,G543,H543-J543))</f>
        <v/>
      </c>
      <c r="J543" s="130" t="str">
        <f>IF(B543="","",IF('Loan Terms'!$H$15="Actual/365",F543*(C543/365),F543*(C543/360))*G543)</f>
        <v/>
      </c>
      <c r="K543" s="12" t="str">
        <f t="shared" si="63"/>
        <v/>
      </c>
      <c r="L543" s="130" t="str">
        <f t="shared" si="67"/>
        <v/>
      </c>
      <c r="N543" s="14" t="str">
        <f t="shared" si="68"/>
        <v/>
      </c>
      <c r="S543" s="217" t="str">
        <f t="shared" si="64"/>
        <v/>
      </c>
      <c r="T543" s="218" t="str">
        <f t="shared" si="62"/>
        <v/>
      </c>
      <c r="U543" s="219" t="str">
        <f>IF(S543="","",'Loan Terms'!$H$14)</f>
        <v/>
      </c>
      <c r="V543" s="220" t="str">
        <f t="shared" si="69"/>
        <v/>
      </c>
    </row>
    <row r="544" spans="2:22" ht="14.25" customHeight="1" x14ac:dyDescent="0.2">
      <c r="B544" s="126" t="str">
        <f>IF(OR(B543="",B543='Loan Terms'!$H$9*12),"",B543+1)</f>
        <v/>
      </c>
      <c r="C544" s="128" t="str">
        <f>IF(B544="","",IF('Loan Terms'!$H$15="30/360",30,D544-D543))</f>
        <v/>
      </c>
      <c r="D544" s="129" t="str">
        <f t="shared" si="65"/>
        <v/>
      </c>
      <c r="E544" s="129" t="str">
        <f>IF(B544="","",IF(B544&lt;='Loan Terms'!$G$10,"Yes","No"))</f>
        <v/>
      </c>
      <c r="F544" s="101" t="str">
        <f>IF(B544="","",IF('Loan Terms'!$C$13="Fixed",'Loan Terms'!$H$17,V544))</f>
        <v/>
      </c>
      <c r="G544" s="12" t="str">
        <f t="shared" si="66"/>
        <v/>
      </c>
      <c r="H544" s="12" t="str">
        <f>IF(G544="","",IF('Loan Terms'!$C$13="Fixed",(E544="Yes")*J544+(E544="No")*'Loan Terms'!$H$19,PMT(F544/12,'Loan Terms'!$G$11-B544+1,-G544)))</f>
        <v/>
      </c>
      <c r="I544" s="12" t="str">
        <f>IF(B544="","",IF(B544='Loan Terms'!$H$9*12,G544,H544-J544))</f>
        <v/>
      </c>
      <c r="J544" s="130" t="str">
        <f>IF(B544="","",IF('Loan Terms'!$H$15="Actual/365",F544*(C544/365),F544*(C544/360))*G544)</f>
        <v/>
      </c>
      <c r="K544" s="12" t="str">
        <f t="shared" si="63"/>
        <v/>
      </c>
      <c r="L544" s="130" t="str">
        <f t="shared" si="67"/>
        <v/>
      </c>
      <c r="N544" s="14" t="str">
        <f t="shared" si="68"/>
        <v/>
      </c>
      <c r="S544" s="217" t="str">
        <f t="shared" si="64"/>
        <v/>
      </c>
      <c r="T544" s="218" t="str">
        <f t="shared" si="62"/>
        <v/>
      </c>
      <c r="U544" s="219" t="str">
        <f>IF(S544="","",'Loan Terms'!$H$14)</f>
        <v/>
      </c>
      <c r="V544" s="220" t="str">
        <f t="shared" si="69"/>
        <v/>
      </c>
    </row>
    <row r="545" spans="2:22" ht="14.25" customHeight="1" x14ac:dyDescent="0.2">
      <c r="B545" s="126" t="str">
        <f>IF(OR(B544="",B544='Loan Terms'!$H$9*12),"",B544+1)</f>
        <v/>
      </c>
      <c r="C545" s="128" t="str">
        <f>IF(B545="","",IF('Loan Terms'!$H$15="30/360",30,D545-D544))</f>
        <v/>
      </c>
      <c r="D545" s="129" t="str">
        <f t="shared" si="65"/>
        <v/>
      </c>
      <c r="E545" s="129" t="str">
        <f>IF(B545="","",IF(B545&lt;='Loan Terms'!$G$10,"Yes","No"))</f>
        <v/>
      </c>
      <c r="F545" s="101" t="str">
        <f>IF(B545="","",IF('Loan Terms'!$C$13="Fixed",'Loan Terms'!$H$17,V545))</f>
        <v/>
      </c>
      <c r="G545" s="12" t="str">
        <f t="shared" si="66"/>
        <v/>
      </c>
      <c r="H545" s="12" t="str">
        <f>IF(G545="","",IF('Loan Terms'!$C$13="Fixed",(E545="Yes")*J545+(E545="No")*'Loan Terms'!$H$19,PMT(F545/12,'Loan Terms'!$G$11-B545+1,-G545)))</f>
        <v/>
      </c>
      <c r="I545" s="12" t="str">
        <f>IF(B545="","",IF(B545='Loan Terms'!$H$9*12,G545,H545-J545))</f>
        <v/>
      </c>
      <c r="J545" s="130" t="str">
        <f>IF(B545="","",IF('Loan Terms'!$H$15="Actual/365",F545*(C545/365),F545*(C545/360))*G545)</f>
        <v/>
      </c>
      <c r="K545" s="12" t="str">
        <f t="shared" si="63"/>
        <v/>
      </c>
      <c r="L545" s="130" t="str">
        <f t="shared" si="67"/>
        <v/>
      </c>
      <c r="N545" s="14" t="str">
        <f t="shared" si="68"/>
        <v/>
      </c>
      <c r="S545" s="217" t="str">
        <f t="shared" si="64"/>
        <v/>
      </c>
      <c r="T545" s="218" t="str">
        <f t="shared" si="62"/>
        <v/>
      </c>
      <c r="U545" s="219" t="str">
        <f>IF(S545="","",'Loan Terms'!$H$14)</f>
        <v/>
      </c>
      <c r="V545" s="220" t="str">
        <f t="shared" si="69"/>
        <v/>
      </c>
    </row>
    <row r="546" spans="2:22" ht="14.25" customHeight="1" x14ac:dyDescent="0.2">
      <c r="B546" s="126" t="str">
        <f>IF(OR(B545="",B545='Loan Terms'!$H$9*12),"",B545+1)</f>
        <v/>
      </c>
      <c r="C546" s="128" t="str">
        <f>IF(B546="","",IF('Loan Terms'!$H$15="30/360",30,D546-D545))</f>
        <v/>
      </c>
      <c r="D546" s="129" t="str">
        <f t="shared" si="65"/>
        <v/>
      </c>
      <c r="E546" s="129" t="str">
        <f>IF(B546="","",IF(B546&lt;='Loan Terms'!$G$10,"Yes","No"))</f>
        <v/>
      </c>
      <c r="F546" s="101" t="str">
        <f>IF(B546="","",IF('Loan Terms'!$C$13="Fixed",'Loan Terms'!$H$17,V546))</f>
        <v/>
      </c>
      <c r="G546" s="12" t="str">
        <f t="shared" si="66"/>
        <v/>
      </c>
      <c r="H546" s="12" t="str">
        <f>IF(G546="","",IF('Loan Terms'!$C$13="Fixed",(E546="Yes")*J546+(E546="No")*'Loan Terms'!$H$19,PMT(F546/12,'Loan Terms'!$G$11-B546+1,-G546)))</f>
        <v/>
      </c>
      <c r="I546" s="12" t="str">
        <f>IF(B546="","",IF(B546='Loan Terms'!$H$9*12,G546,H546-J546))</f>
        <v/>
      </c>
      <c r="J546" s="130" t="str">
        <f>IF(B546="","",IF('Loan Terms'!$H$15="Actual/365",F546*(C546/365),F546*(C546/360))*G546)</f>
        <v/>
      </c>
      <c r="K546" s="12" t="str">
        <f t="shared" si="63"/>
        <v/>
      </c>
      <c r="L546" s="130" t="str">
        <f t="shared" si="67"/>
        <v/>
      </c>
      <c r="N546" s="14" t="str">
        <f t="shared" si="68"/>
        <v/>
      </c>
      <c r="S546" s="217" t="str">
        <f t="shared" si="64"/>
        <v/>
      </c>
      <c r="T546" s="218" t="str">
        <f t="shared" si="62"/>
        <v/>
      </c>
      <c r="U546" s="219" t="str">
        <f>IF(S546="","",'Loan Terms'!$H$14)</f>
        <v/>
      </c>
      <c r="V546" s="220" t="str">
        <f t="shared" si="69"/>
        <v/>
      </c>
    </row>
    <row r="547" spans="2:22" ht="14.25" customHeight="1" x14ac:dyDescent="0.2">
      <c r="B547" s="126" t="str">
        <f>IF(OR(B546="",B546='Loan Terms'!$H$9*12),"",B546+1)</f>
        <v/>
      </c>
      <c r="C547" s="128" t="str">
        <f>IF(B547="","",IF('Loan Terms'!$H$15="30/360",30,D547-D546))</f>
        <v/>
      </c>
      <c r="D547" s="129" t="str">
        <f t="shared" si="65"/>
        <v/>
      </c>
      <c r="E547" s="129" t="str">
        <f>IF(B547="","",IF(B547&lt;='Loan Terms'!$G$10,"Yes","No"))</f>
        <v/>
      </c>
      <c r="F547" s="101" t="str">
        <f>IF(B547="","",IF('Loan Terms'!$C$13="Fixed",'Loan Terms'!$H$17,V547))</f>
        <v/>
      </c>
      <c r="G547" s="12" t="str">
        <f t="shared" si="66"/>
        <v/>
      </c>
      <c r="H547" s="12" t="str">
        <f>IF(G547="","",IF('Loan Terms'!$C$13="Fixed",(E547="Yes")*J547+(E547="No")*'Loan Terms'!$H$19,PMT(F547/12,'Loan Terms'!$G$11-B547+1,-G547)))</f>
        <v/>
      </c>
      <c r="I547" s="12" t="str">
        <f>IF(B547="","",IF(B547='Loan Terms'!$H$9*12,G547,H547-J547))</f>
        <v/>
      </c>
      <c r="J547" s="130" t="str">
        <f>IF(B547="","",IF('Loan Terms'!$H$15="Actual/365",F547*(C547/365),F547*(C547/360))*G547)</f>
        <v/>
      </c>
      <c r="K547" s="12" t="str">
        <f t="shared" si="63"/>
        <v/>
      </c>
      <c r="L547" s="130" t="str">
        <f t="shared" si="67"/>
        <v/>
      </c>
      <c r="N547" s="14" t="str">
        <f t="shared" si="68"/>
        <v/>
      </c>
      <c r="S547" s="217" t="str">
        <f t="shared" si="64"/>
        <v/>
      </c>
      <c r="T547" s="218" t="str">
        <f t="shared" si="62"/>
        <v/>
      </c>
      <c r="U547" s="219" t="str">
        <f>IF(S547="","",'Loan Terms'!$H$14)</f>
        <v/>
      </c>
      <c r="V547" s="220" t="str">
        <f t="shared" si="69"/>
        <v/>
      </c>
    </row>
    <row r="548" spans="2:22" ht="14.25" customHeight="1" x14ac:dyDescent="0.2">
      <c r="B548" s="126" t="str">
        <f>IF(OR(B547="",B547='Loan Terms'!$H$9*12),"",B547+1)</f>
        <v/>
      </c>
      <c r="C548" s="128" t="str">
        <f>IF(B548="","",IF('Loan Terms'!$H$15="30/360",30,D548-D547))</f>
        <v/>
      </c>
      <c r="D548" s="129" t="str">
        <f t="shared" si="65"/>
        <v/>
      </c>
      <c r="E548" s="129" t="str">
        <f>IF(B548="","",IF(B548&lt;='Loan Terms'!$G$10,"Yes","No"))</f>
        <v/>
      </c>
      <c r="F548" s="101" t="str">
        <f>IF(B548="","",IF('Loan Terms'!$C$13="Fixed",'Loan Terms'!$H$17,V548))</f>
        <v/>
      </c>
      <c r="G548" s="12" t="str">
        <f t="shared" si="66"/>
        <v/>
      </c>
      <c r="H548" s="12" t="str">
        <f>IF(G548="","",IF('Loan Terms'!$C$13="Fixed",(E548="Yes")*J548+(E548="No")*'Loan Terms'!$H$19,PMT(F548/12,'Loan Terms'!$G$11-B548+1,-G548)))</f>
        <v/>
      </c>
      <c r="I548" s="12" t="str">
        <f>IF(B548="","",IF(B548='Loan Terms'!$H$9*12,G548,H548-J548))</f>
        <v/>
      </c>
      <c r="J548" s="130" t="str">
        <f>IF(B548="","",IF('Loan Terms'!$H$15="Actual/365",F548*(C548/365),F548*(C548/360))*G548)</f>
        <v/>
      </c>
      <c r="K548" s="12" t="str">
        <f t="shared" si="63"/>
        <v/>
      </c>
      <c r="L548" s="130" t="str">
        <f t="shared" si="67"/>
        <v/>
      </c>
      <c r="N548" s="14" t="str">
        <f t="shared" si="68"/>
        <v/>
      </c>
      <c r="S548" s="217" t="str">
        <f t="shared" si="64"/>
        <v/>
      </c>
      <c r="T548" s="218" t="str">
        <f t="shared" si="62"/>
        <v/>
      </c>
      <c r="U548" s="219" t="str">
        <f>IF(S548="","",'Loan Terms'!$H$14)</f>
        <v/>
      </c>
      <c r="V548" s="220" t="str">
        <f t="shared" si="69"/>
        <v/>
      </c>
    </row>
    <row r="549" spans="2:22" ht="14.25" customHeight="1" x14ac:dyDescent="0.2">
      <c r="B549" s="126" t="str">
        <f>IF(OR(B548="",B548='Loan Terms'!$H$9*12),"",B548+1)</f>
        <v/>
      </c>
      <c r="C549" s="128" t="str">
        <f>IF(B549="","",IF('Loan Terms'!$H$15="30/360",30,D549-D548))</f>
        <v/>
      </c>
      <c r="D549" s="129" t="str">
        <f t="shared" si="65"/>
        <v/>
      </c>
      <c r="E549" s="129" t="str">
        <f>IF(B549="","",IF(B549&lt;='Loan Terms'!$G$10,"Yes","No"))</f>
        <v/>
      </c>
      <c r="F549" s="101" t="str">
        <f>IF(B549="","",IF('Loan Terms'!$C$13="Fixed",'Loan Terms'!$H$17,V549))</f>
        <v/>
      </c>
      <c r="G549" s="12" t="str">
        <f t="shared" si="66"/>
        <v/>
      </c>
      <c r="H549" s="12" t="str">
        <f>IF(G549="","",IF('Loan Terms'!$C$13="Fixed",(E549="Yes")*J549+(E549="No")*'Loan Terms'!$H$19,PMT(F549/12,'Loan Terms'!$G$11-B549+1,-G549)))</f>
        <v/>
      </c>
      <c r="I549" s="12" t="str">
        <f>IF(B549="","",IF(B549='Loan Terms'!$H$9*12,G549,H549-J549))</f>
        <v/>
      </c>
      <c r="J549" s="130" t="str">
        <f>IF(B549="","",IF('Loan Terms'!$H$15="Actual/365",F549*(C549/365),F549*(C549/360))*G549)</f>
        <v/>
      </c>
      <c r="K549" s="12" t="str">
        <f t="shared" si="63"/>
        <v/>
      </c>
      <c r="L549" s="130" t="str">
        <f t="shared" si="67"/>
        <v/>
      </c>
      <c r="N549" s="14" t="str">
        <f t="shared" si="68"/>
        <v/>
      </c>
      <c r="S549" s="217" t="str">
        <f t="shared" si="64"/>
        <v/>
      </c>
      <c r="T549" s="218" t="str">
        <f t="shared" si="62"/>
        <v/>
      </c>
      <c r="U549" s="219" t="str">
        <f>IF(S549="","",'Loan Terms'!$H$14)</f>
        <v/>
      </c>
      <c r="V549" s="220" t="str">
        <f t="shared" si="69"/>
        <v/>
      </c>
    </row>
    <row r="550" spans="2:22" ht="14.25" customHeight="1" x14ac:dyDescent="0.2">
      <c r="B550" s="126" t="str">
        <f>IF(OR(B549="",B549='Loan Terms'!$H$9*12),"",B549+1)</f>
        <v/>
      </c>
      <c r="C550" s="128" t="str">
        <f>IF(B550="","",IF('Loan Terms'!$H$15="30/360",30,D550-D549))</f>
        <v/>
      </c>
      <c r="D550" s="129" t="str">
        <f t="shared" si="65"/>
        <v/>
      </c>
      <c r="E550" s="129" t="str">
        <f>IF(B550="","",IF(B550&lt;='Loan Terms'!$G$10,"Yes","No"))</f>
        <v/>
      </c>
      <c r="F550" s="101" t="str">
        <f>IF(B550="","",IF('Loan Terms'!$C$13="Fixed",'Loan Terms'!$H$17,V550))</f>
        <v/>
      </c>
      <c r="G550" s="12" t="str">
        <f t="shared" si="66"/>
        <v/>
      </c>
      <c r="H550" s="12" t="str">
        <f>IF(G550="","",IF('Loan Terms'!$C$13="Fixed",(E550="Yes")*J550+(E550="No")*'Loan Terms'!$H$19,PMT(F550/12,'Loan Terms'!$G$11-B550+1,-G550)))</f>
        <v/>
      </c>
      <c r="I550" s="12" t="str">
        <f>IF(B550="","",IF(B550='Loan Terms'!$H$9*12,G550,H550-J550))</f>
        <v/>
      </c>
      <c r="J550" s="130" t="str">
        <f>IF(B550="","",IF('Loan Terms'!$H$15="Actual/365",F550*(C550/365),F550*(C550/360))*G550)</f>
        <v/>
      </c>
      <c r="K550" s="12" t="str">
        <f t="shared" si="63"/>
        <v/>
      </c>
      <c r="L550" s="130" t="str">
        <f t="shared" si="67"/>
        <v/>
      </c>
      <c r="N550" s="14" t="str">
        <f t="shared" si="68"/>
        <v/>
      </c>
      <c r="S550" s="217" t="str">
        <f t="shared" si="64"/>
        <v/>
      </c>
      <c r="T550" s="218" t="str">
        <f t="shared" si="62"/>
        <v/>
      </c>
      <c r="U550" s="219" t="str">
        <f>IF(S550="","",'Loan Terms'!$H$14)</f>
        <v/>
      </c>
      <c r="V550" s="220" t="str">
        <f t="shared" si="69"/>
        <v/>
      </c>
    </row>
    <row r="551" spans="2:22" ht="14.25" customHeight="1" x14ac:dyDescent="0.2">
      <c r="B551" s="126" t="str">
        <f>IF(OR(B550="",B550='Loan Terms'!$H$9*12),"",B550+1)</f>
        <v/>
      </c>
      <c r="C551" s="128" t="str">
        <f>IF(B551="","",IF('Loan Terms'!$H$15="30/360",30,D551-D550))</f>
        <v/>
      </c>
      <c r="D551" s="129" t="str">
        <f t="shared" si="65"/>
        <v/>
      </c>
      <c r="E551" s="129" t="str">
        <f>IF(B551="","",IF(B551&lt;='Loan Terms'!$G$10,"Yes","No"))</f>
        <v/>
      </c>
      <c r="F551" s="101" t="str">
        <f>IF(B551="","",IF('Loan Terms'!$C$13="Fixed",'Loan Terms'!$H$17,V551))</f>
        <v/>
      </c>
      <c r="G551" s="12" t="str">
        <f t="shared" si="66"/>
        <v/>
      </c>
      <c r="H551" s="12" t="str">
        <f>IF(G551="","",IF('Loan Terms'!$C$13="Fixed",(E551="Yes")*J551+(E551="No")*'Loan Terms'!$H$19,PMT(F551/12,'Loan Terms'!$G$11-B551+1,-G551)))</f>
        <v/>
      </c>
      <c r="I551" s="12" t="str">
        <f>IF(B551="","",IF(B551='Loan Terms'!$H$9*12,G551,H551-J551))</f>
        <v/>
      </c>
      <c r="J551" s="130" t="str">
        <f>IF(B551="","",IF('Loan Terms'!$H$15="Actual/365",F551*(C551/365),F551*(C551/360))*G551)</f>
        <v/>
      </c>
      <c r="K551" s="12" t="str">
        <f t="shared" si="63"/>
        <v/>
      </c>
      <c r="L551" s="130" t="str">
        <f t="shared" si="67"/>
        <v/>
      </c>
      <c r="N551" s="14" t="str">
        <f t="shared" si="68"/>
        <v/>
      </c>
      <c r="S551" s="217" t="str">
        <f t="shared" si="64"/>
        <v/>
      </c>
      <c r="T551" s="218" t="str">
        <f t="shared" si="62"/>
        <v/>
      </c>
      <c r="U551" s="219" t="str">
        <f>IF(S551="","",'Loan Terms'!$H$14)</f>
        <v/>
      </c>
      <c r="V551" s="220" t="str">
        <f t="shared" si="69"/>
        <v/>
      </c>
    </row>
    <row r="552" spans="2:22" ht="14.25" customHeight="1" x14ac:dyDescent="0.2">
      <c r="B552" s="126" t="str">
        <f>IF(OR(B551="",B551='Loan Terms'!$H$9*12),"",B551+1)</f>
        <v/>
      </c>
      <c r="C552" s="128" t="str">
        <f>IF(B552="","",IF('Loan Terms'!$H$15="30/360",30,D552-D551))</f>
        <v/>
      </c>
      <c r="D552" s="129" t="str">
        <f t="shared" si="65"/>
        <v/>
      </c>
      <c r="E552" s="129" t="str">
        <f>IF(B552="","",IF(B552&lt;='Loan Terms'!$G$10,"Yes","No"))</f>
        <v/>
      </c>
      <c r="F552" s="101" t="str">
        <f>IF(B552="","",IF('Loan Terms'!$C$13="Fixed",'Loan Terms'!$H$17,V552))</f>
        <v/>
      </c>
      <c r="G552" s="12" t="str">
        <f t="shared" si="66"/>
        <v/>
      </c>
      <c r="H552" s="12" t="str">
        <f>IF(G552="","",IF('Loan Terms'!$C$13="Fixed",(E552="Yes")*J552+(E552="No")*'Loan Terms'!$H$19,PMT(F552/12,'Loan Terms'!$G$11-B552+1,-G552)))</f>
        <v/>
      </c>
      <c r="I552" s="12" t="str">
        <f>IF(B552="","",IF(B552='Loan Terms'!$H$9*12,G552,H552-J552))</f>
        <v/>
      </c>
      <c r="J552" s="130" t="str">
        <f>IF(B552="","",IF('Loan Terms'!$H$15="Actual/365",F552*(C552/365),F552*(C552/360))*G552)</f>
        <v/>
      </c>
      <c r="K552" s="12" t="str">
        <f t="shared" si="63"/>
        <v/>
      </c>
      <c r="L552" s="130" t="str">
        <f t="shared" si="67"/>
        <v/>
      </c>
      <c r="N552" s="14" t="str">
        <f t="shared" si="68"/>
        <v/>
      </c>
      <c r="S552" s="217" t="str">
        <f t="shared" si="64"/>
        <v/>
      </c>
      <c r="T552" s="218" t="str">
        <f t="shared" si="62"/>
        <v/>
      </c>
      <c r="U552" s="219" t="str">
        <f>IF(S552="","",'Loan Terms'!$H$14)</f>
        <v/>
      </c>
      <c r="V552" s="220" t="str">
        <f t="shared" si="69"/>
        <v/>
      </c>
    </row>
    <row r="553" spans="2:22" ht="14.25" customHeight="1" x14ac:dyDescent="0.2">
      <c r="B553" s="126" t="str">
        <f>IF(OR(B552="",B552='Loan Terms'!$H$9*12),"",B552+1)</f>
        <v/>
      </c>
      <c r="C553" s="128" t="str">
        <f>IF(B553="","",IF('Loan Terms'!$H$15="30/360",30,D553-D552))</f>
        <v/>
      </c>
      <c r="D553" s="129" t="str">
        <f t="shared" si="65"/>
        <v/>
      </c>
      <c r="E553" s="129" t="str">
        <f>IF(B553="","",IF(B553&lt;='Loan Terms'!$G$10,"Yes","No"))</f>
        <v/>
      </c>
      <c r="F553" s="101" t="str">
        <f>IF(B553="","",IF('Loan Terms'!$C$13="Fixed",'Loan Terms'!$H$17,V553))</f>
        <v/>
      </c>
      <c r="G553" s="12" t="str">
        <f t="shared" si="66"/>
        <v/>
      </c>
      <c r="H553" s="12" t="str">
        <f>IF(G553="","",IF('Loan Terms'!$C$13="Fixed",(E553="Yes")*J553+(E553="No")*'Loan Terms'!$H$19,PMT(F553/12,'Loan Terms'!$G$11-B553+1,-G553)))</f>
        <v/>
      </c>
      <c r="I553" s="12" t="str">
        <f>IF(B553="","",IF(B553='Loan Terms'!$H$9*12,G553,H553-J553))</f>
        <v/>
      </c>
      <c r="J553" s="130" t="str">
        <f>IF(B553="","",IF('Loan Terms'!$H$15="Actual/365",F553*(C553/365),F553*(C553/360))*G553)</f>
        <v/>
      </c>
      <c r="K553" s="12" t="str">
        <f t="shared" si="63"/>
        <v/>
      </c>
      <c r="L553" s="130" t="str">
        <f t="shared" si="67"/>
        <v/>
      </c>
      <c r="N553" s="14" t="str">
        <f t="shared" si="68"/>
        <v/>
      </c>
      <c r="S553" s="217" t="str">
        <f t="shared" si="64"/>
        <v/>
      </c>
      <c r="T553" s="218" t="str">
        <f t="shared" si="62"/>
        <v/>
      </c>
      <c r="U553" s="219" t="str">
        <f>IF(S553="","",'Loan Terms'!$H$14)</f>
        <v/>
      </c>
      <c r="V553" s="220" t="str">
        <f t="shared" si="69"/>
        <v/>
      </c>
    </row>
    <row r="554" spans="2:22" ht="14.25" customHeight="1" x14ac:dyDescent="0.2">
      <c r="B554" s="126" t="str">
        <f>IF(OR(B553="",B553='Loan Terms'!$H$9*12),"",B553+1)</f>
        <v/>
      </c>
      <c r="C554" s="128" t="str">
        <f>IF(B554="","",IF('Loan Terms'!$H$15="30/360",30,D554-D553))</f>
        <v/>
      </c>
      <c r="D554" s="129" t="str">
        <f t="shared" si="65"/>
        <v/>
      </c>
      <c r="E554" s="129" t="str">
        <f>IF(B554="","",IF(B554&lt;='Loan Terms'!$G$10,"Yes","No"))</f>
        <v/>
      </c>
      <c r="F554" s="101" t="str">
        <f>IF(B554="","",IF('Loan Terms'!$C$13="Fixed",'Loan Terms'!$H$17,V554))</f>
        <v/>
      </c>
      <c r="G554" s="12" t="str">
        <f t="shared" si="66"/>
        <v/>
      </c>
      <c r="H554" s="12" t="str">
        <f>IF(G554="","",IF('Loan Terms'!$C$13="Fixed",(E554="Yes")*J554+(E554="No")*'Loan Terms'!$H$19,PMT(F554/12,'Loan Terms'!$G$11-B554+1,-G554)))</f>
        <v/>
      </c>
      <c r="I554" s="12" t="str">
        <f>IF(B554="","",IF(B554='Loan Terms'!$H$9*12,G554,H554-J554))</f>
        <v/>
      </c>
      <c r="J554" s="130" t="str">
        <f>IF(B554="","",IF('Loan Terms'!$H$15="Actual/365",F554*(C554/365),F554*(C554/360))*G554)</f>
        <v/>
      </c>
      <c r="K554" s="12" t="str">
        <f t="shared" si="63"/>
        <v/>
      </c>
      <c r="L554" s="130" t="str">
        <f t="shared" si="67"/>
        <v/>
      </c>
      <c r="N554" s="14" t="str">
        <f t="shared" si="68"/>
        <v/>
      </c>
      <c r="S554" s="217" t="str">
        <f t="shared" si="64"/>
        <v/>
      </c>
      <c r="T554" s="218" t="str">
        <f t="shared" si="62"/>
        <v/>
      </c>
      <c r="U554" s="219" t="str">
        <f>IF(S554="","",'Loan Terms'!$H$14)</f>
        <v/>
      </c>
      <c r="V554" s="220" t="str">
        <f t="shared" si="69"/>
        <v/>
      </c>
    </row>
    <row r="555" spans="2:22" ht="14.25" customHeight="1" x14ac:dyDescent="0.2">
      <c r="B555" s="126" t="str">
        <f>IF(OR(B554="",B554='Loan Terms'!$H$9*12),"",B554+1)</f>
        <v/>
      </c>
      <c r="C555" s="128" t="str">
        <f>IF(B555="","",IF('Loan Terms'!$H$15="30/360",30,D555-D554))</f>
        <v/>
      </c>
      <c r="D555" s="129" t="str">
        <f t="shared" si="65"/>
        <v/>
      </c>
      <c r="E555" s="129" t="str">
        <f>IF(B555="","",IF(B555&lt;='Loan Terms'!$G$10,"Yes","No"))</f>
        <v/>
      </c>
      <c r="F555" s="101" t="str">
        <f>IF(B555="","",IF('Loan Terms'!$C$13="Fixed",'Loan Terms'!$H$17,V555))</f>
        <v/>
      </c>
      <c r="G555" s="12" t="str">
        <f t="shared" si="66"/>
        <v/>
      </c>
      <c r="H555" s="12" t="str">
        <f>IF(G555="","",IF('Loan Terms'!$C$13="Fixed",(E555="Yes")*J555+(E555="No")*'Loan Terms'!$H$19,PMT(F555/12,'Loan Terms'!$G$11-B555+1,-G555)))</f>
        <v/>
      </c>
      <c r="I555" s="12" t="str">
        <f>IF(B555="","",IF(B555='Loan Terms'!$H$9*12,G555,H555-J555))</f>
        <v/>
      </c>
      <c r="J555" s="130" t="str">
        <f>IF(B555="","",IF('Loan Terms'!$H$15="Actual/365",F555*(C555/365),F555*(C555/360))*G555)</f>
        <v/>
      </c>
      <c r="K555" s="12" t="str">
        <f t="shared" si="63"/>
        <v/>
      </c>
      <c r="L555" s="130" t="str">
        <f t="shared" si="67"/>
        <v/>
      </c>
      <c r="N555" s="14" t="str">
        <f t="shared" si="68"/>
        <v/>
      </c>
      <c r="S555" s="217" t="str">
        <f t="shared" si="64"/>
        <v/>
      </c>
      <c r="T555" s="218" t="str">
        <f t="shared" si="62"/>
        <v/>
      </c>
      <c r="U555" s="219" t="str">
        <f>IF(S555="","",'Loan Terms'!$H$14)</f>
        <v/>
      </c>
      <c r="V555" s="220" t="str">
        <f t="shared" si="69"/>
        <v/>
      </c>
    </row>
    <row r="556" spans="2:22" ht="14.25" customHeight="1" x14ac:dyDescent="0.2">
      <c r="B556" s="126" t="str">
        <f>IF(OR(B555="",B555='Loan Terms'!$H$9*12),"",B555+1)</f>
        <v/>
      </c>
      <c r="C556" s="128" t="str">
        <f>IF(B556="","",IF('Loan Terms'!$H$15="30/360",30,D556-D555))</f>
        <v/>
      </c>
      <c r="D556" s="129" t="str">
        <f t="shared" si="65"/>
        <v/>
      </c>
      <c r="E556" s="129" t="str">
        <f>IF(B556="","",IF(B556&lt;='Loan Terms'!$G$10,"Yes","No"))</f>
        <v/>
      </c>
      <c r="F556" s="101" t="str">
        <f>IF(B556="","",IF('Loan Terms'!$C$13="Fixed",'Loan Terms'!$H$17,V556))</f>
        <v/>
      </c>
      <c r="G556" s="12" t="str">
        <f t="shared" si="66"/>
        <v/>
      </c>
      <c r="H556" s="12" t="str">
        <f>IF(G556="","",IF('Loan Terms'!$C$13="Fixed",(E556="Yes")*J556+(E556="No")*'Loan Terms'!$H$19,PMT(F556/12,'Loan Terms'!$G$11-B556+1,-G556)))</f>
        <v/>
      </c>
      <c r="I556" s="12" t="str">
        <f>IF(B556="","",IF(B556='Loan Terms'!$H$9*12,G556,H556-J556))</f>
        <v/>
      </c>
      <c r="J556" s="130" t="str">
        <f>IF(B556="","",IF('Loan Terms'!$H$15="Actual/365",F556*(C556/365),F556*(C556/360))*G556)</f>
        <v/>
      </c>
      <c r="K556" s="12" t="str">
        <f t="shared" si="63"/>
        <v/>
      </c>
      <c r="L556" s="130" t="str">
        <f t="shared" si="67"/>
        <v/>
      </c>
      <c r="N556" s="14" t="str">
        <f t="shared" si="68"/>
        <v/>
      </c>
      <c r="S556" s="217" t="str">
        <f t="shared" si="64"/>
        <v/>
      </c>
      <c r="T556" s="218" t="str">
        <f t="shared" si="62"/>
        <v/>
      </c>
      <c r="U556" s="219" t="str">
        <f>IF(S556="","",'Loan Terms'!$H$14)</f>
        <v/>
      </c>
      <c r="V556" s="220" t="str">
        <f t="shared" si="69"/>
        <v/>
      </c>
    </row>
    <row r="557" spans="2:22" ht="14.25" customHeight="1" x14ac:dyDescent="0.2">
      <c r="B557" s="126" t="str">
        <f>IF(OR(B556="",B556='Loan Terms'!$H$9*12),"",B556+1)</f>
        <v/>
      </c>
      <c r="C557" s="128" t="str">
        <f>IF(B557="","",IF('Loan Terms'!$H$15="30/360",30,D557-D556))</f>
        <v/>
      </c>
      <c r="D557" s="129" t="str">
        <f t="shared" si="65"/>
        <v/>
      </c>
      <c r="E557" s="129" t="str">
        <f>IF(B557="","",IF(B557&lt;='Loan Terms'!$G$10,"Yes","No"))</f>
        <v/>
      </c>
      <c r="F557" s="101" t="str">
        <f>IF(B557="","",IF('Loan Terms'!$C$13="Fixed",'Loan Terms'!$H$17,V557))</f>
        <v/>
      </c>
      <c r="G557" s="12" t="str">
        <f t="shared" si="66"/>
        <v/>
      </c>
      <c r="H557" s="12" t="str">
        <f>IF(G557="","",IF('Loan Terms'!$C$13="Fixed",(E557="Yes")*J557+(E557="No")*'Loan Terms'!$H$19,PMT(F557/12,'Loan Terms'!$G$11-B557+1,-G557)))</f>
        <v/>
      </c>
      <c r="I557" s="12" t="str">
        <f>IF(B557="","",IF(B557='Loan Terms'!$H$9*12,G557,H557-J557))</f>
        <v/>
      </c>
      <c r="J557" s="130" t="str">
        <f>IF(B557="","",IF('Loan Terms'!$H$15="Actual/365",F557*(C557/365),F557*(C557/360))*G557)</f>
        <v/>
      </c>
      <c r="K557" s="12" t="str">
        <f t="shared" si="63"/>
        <v/>
      </c>
      <c r="L557" s="130" t="str">
        <f t="shared" si="67"/>
        <v/>
      </c>
      <c r="N557" s="14" t="str">
        <f t="shared" si="68"/>
        <v/>
      </c>
      <c r="S557" s="217" t="str">
        <f t="shared" si="64"/>
        <v/>
      </c>
      <c r="T557" s="218" t="str">
        <f t="shared" si="62"/>
        <v/>
      </c>
      <c r="U557" s="219" t="str">
        <f>IF(S557="","",'Loan Terms'!$H$14)</f>
        <v/>
      </c>
      <c r="V557" s="220" t="str">
        <f t="shared" si="69"/>
        <v/>
      </c>
    </row>
    <row r="558" spans="2:22" ht="14.25" customHeight="1" x14ac:dyDescent="0.2">
      <c r="B558" s="126" t="str">
        <f>IF(OR(B557="",B557='Loan Terms'!$H$9*12),"",B557+1)</f>
        <v/>
      </c>
      <c r="C558" s="128" t="str">
        <f>IF(B558="","",IF('Loan Terms'!$H$15="30/360",30,D558-D557))</f>
        <v/>
      </c>
      <c r="D558" s="129" t="str">
        <f t="shared" si="65"/>
        <v/>
      </c>
      <c r="E558" s="129" t="str">
        <f>IF(B558="","",IF(B558&lt;='Loan Terms'!$G$10,"Yes","No"))</f>
        <v/>
      </c>
      <c r="F558" s="101" t="str">
        <f>IF(B558="","",IF('Loan Terms'!$C$13="Fixed",'Loan Terms'!$H$17,V558))</f>
        <v/>
      </c>
      <c r="G558" s="12" t="str">
        <f t="shared" si="66"/>
        <v/>
      </c>
      <c r="H558" s="12" t="str">
        <f>IF(G558="","",IF('Loan Terms'!$C$13="Fixed",(E558="Yes")*J558+(E558="No")*'Loan Terms'!$H$19,PMT(F558/12,'Loan Terms'!$G$11-B558+1,-G558)))</f>
        <v/>
      </c>
      <c r="I558" s="12" t="str">
        <f>IF(B558="","",IF(B558='Loan Terms'!$H$9*12,G558,H558-J558))</f>
        <v/>
      </c>
      <c r="J558" s="130" t="str">
        <f>IF(B558="","",IF('Loan Terms'!$H$15="Actual/365",F558*(C558/365),F558*(C558/360))*G558)</f>
        <v/>
      </c>
      <c r="K558" s="12" t="str">
        <f t="shared" si="63"/>
        <v/>
      </c>
      <c r="L558" s="130" t="str">
        <f t="shared" si="67"/>
        <v/>
      </c>
      <c r="N558" s="14" t="str">
        <f t="shared" si="68"/>
        <v/>
      </c>
      <c r="S558" s="217" t="str">
        <f t="shared" si="64"/>
        <v/>
      </c>
      <c r="T558" s="218" t="str">
        <f t="shared" si="62"/>
        <v/>
      </c>
      <c r="U558" s="219" t="str">
        <f>IF(S558="","",'Loan Terms'!$H$14)</f>
        <v/>
      </c>
      <c r="V558" s="220" t="str">
        <f t="shared" si="69"/>
        <v/>
      </c>
    </row>
    <row r="559" spans="2:22" ht="14.25" customHeight="1" x14ac:dyDescent="0.2">
      <c r="B559" s="126" t="str">
        <f>IF(OR(B558="",B558='Loan Terms'!$H$9*12),"",B558+1)</f>
        <v/>
      </c>
      <c r="C559" s="128" t="str">
        <f>IF(B559="","",IF('Loan Terms'!$H$15="30/360",30,D559-D558))</f>
        <v/>
      </c>
      <c r="D559" s="129" t="str">
        <f t="shared" si="65"/>
        <v/>
      </c>
      <c r="E559" s="129" t="str">
        <f>IF(B559="","",IF(B559&lt;='Loan Terms'!$G$10,"Yes","No"))</f>
        <v/>
      </c>
      <c r="F559" s="101" t="str">
        <f>IF(B559="","",IF('Loan Terms'!$C$13="Fixed",'Loan Terms'!$H$17,V559))</f>
        <v/>
      </c>
      <c r="G559" s="12" t="str">
        <f t="shared" si="66"/>
        <v/>
      </c>
      <c r="H559" s="12" t="str">
        <f>IF(G559="","",IF('Loan Terms'!$C$13="Fixed",(E559="Yes")*J559+(E559="No")*'Loan Terms'!$H$19,PMT(F559/12,'Loan Terms'!$G$11-B559+1,-G559)))</f>
        <v/>
      </c>
      <c r="I559" s="12" t="str">
        <f>IF(B559="","",IF(B559='Loan Terms'!$H$9*12,G559,H559-J559))</f>
        <v/>
      </c>
      <c r="J559" s="130" t="str">
        <f>IF(B559="","",IF('Loan Terms'!$H$15="Actual/365",F559*(C559/365),F559*(C559/360))*G559)</f>
        <v/>
      </c>
      <c r="K559" s="12" t="str">
        <f t="shared" si="63"/>
        <v/>
      </c>
      <c r="L559" s="130" t="str">
        <f t="shared" si="67"/>
        <v/>
      </c>
      <c r="N559" s="14" t="str">
        <f t="shared" si="68"/>
        <v/>
      </c>
      <c r="S559" s="217" t="str">
        <f t="shared" si="64"/>
        <v/>
      </c>
      <c r="T559" s="218" t="str">
        <f t="shared" si="62"/>
        <v/>
      </c>
      <c r="U559" s="219" t="str">
        <f>IF(S559="","",'Loan Terms'!$H$14)</f>
        <v/>
      </c>
      <c r="V559" s="220" t="str">
        <f t="shared" si="69"/>
        <v/>
      </c>
    </row>
    <row r="560" spans="2:22" ht="14.25" customHeight="1" x14ac:dyDescent="0.2">
      <c r="B560" s="126" t="str">
        <f>IF(OR(B559="",B559='Loan Terms'!$H$9*12),"",B559+1)</f>
        <v/>
      </c>
      <c r="C560" s="128" t="str">
        <f>IF(B560="","",IF('Loan Terms'!$H$15="30/360",30,D560-D559))</f>
        <v/>
      </c>
      <c r="D560" s="129" t="str">
        <f t="shared" si="65"/>
        <v/>
      </c>
      <c r="E560" s="129" t="str">
        <f>IF(B560="","",IF(B560&lt;='Loan Terms'!$G$10,"Yes","No"))</f>
        <v/>
      </c>
      <c r="F560" s="101" t="str">
        <f>IF(B560="","",IF('Loan Terms'!$C$13="Fixed",'Loan Terms'!$H$17,V560))</f>
        <v/>
      </c>
      <c r="G560" s="12" t="str">
        <f t="shared" si="66"/>
        <v/>
      </c>
      <c r="H560" s="12" t="str">
        <f>IF(G560="","",IF('Loan Terms'!$C$13="Fixed",(E560="Yes")*J560+(E560="No")*'Loan Terms'!$H$19,PMT(F560/12,'Loan Terms'!$G$11-B560+1,-G560)))</f>
        <v/>
      </c>
      <c r="I560" s="12" t="str">
        <f>IF(B560="","",IF(B560='Loan Terms'!$H$9*12,G560,H560-J560))</f>
        <v/>
      </c>
      <c r="J560" s="130" t="str">
        <f>IF(B560="","",IF('Loan Terms'!$H$15="Actual/365",F560*(C560/365),F560*(C560/360))*G560)</f>
        <v/>
      </c>
      <c r="K560" s="12" t="str">
        <f t="shared" si="63"/>
        <v/>
      </c>
      <c r="L560" s="130" t="str">
        <f t="shared" si="67"/>
        <v/>
      </c>
      <c r="N560" s="14" t="str">
        <f t="shared" si="68"/>
        <v/>
      </c>
      <c r="S560" s="217" t="str">
        <f t="shared" si="64"/>
        <v/>
      </c>
      <c r="T560" s="218" t="str">
        <f t="shared" si="62"/>
        <v/>
      </c>
      <c r="U560" s="219" t="str">
        <f>IF(S560="","",'Loan Terms'!$H$14)</f>
        <v/>
      </c>
      <c r="V560" s="220" t="str">
        <f t="shared" si="69"/>
        <v/>
      </c>
    </row>
    <row r="561" spans="2:22" ht="14.25" customHeight="1" x14ac:dyDescent="0.2">
      <c r="B561" s="126" t="str">
        <f>IF(OR(B560="",B560='Loan Terms'!$H$9*12),"",B560+1)</f>
        <v/>
      </c>
      <c r="C561" s="128" t="str">
        <f>IF(B561="","",IF('Loan Terms'!$H$15="30/360",30,D561-D560))</f>
        <v/>
      </c>
      <c r="D561" s="129" t="str">
        <f t="shared" si="65"/>
        <v/>
      </c>
      <c r="E561" s="129" t="str">
        <f>IF(B561="","",IF(B561&lt;='Loan Terms'!$G$10,"Yes","No"))</f>
        <v/>
      </c>
      <c r="F561" s="101" t="str">
        <f>IF(B561="","",IF('Loan Terms'!$C$13="Fixed",'Loan Terms'!$H$17,V561))</f>
        <v/>
      </c>
      <c r="G561" s="12" t="str">
        <f t="shared" si="66"/>
        <v/>
      </c>
      <c r="H561" s="12" t="str">
        <f>IF(G561="","",IF('Loan Terms'!$C$13="Fixed",(E561="Yes")*J561+(E561="No")*'Loan Terms'!$H$19,PMT(F561/12,'Loan Terms'!$G$11-B561+1,-G561)))</f>
        <v/>
      </c>
      <c r="I561" s="12" t="str">
        <f>IF(B561="","",IF(B561='Loan Terms'!$H$9*12,G561,H561-J561))</f>
        <v/>
      </c>
      <c r="J561" s="130" t="str">
        <f>IF(B561="","",IF('Loan Terms'!$H$15="Actual/365",F561*(C561/365),F561*(C561/360))*G561)</f>
        <v/>
      </c>
      <c r="K561" s="12" t="str">
        <f t="shared" si="63"/>
        <v/>
      </c>
      <c r="L561" s="130" t="str">
        <f t="shared" si="67"/>
        <v/>
      </c>
      <c r="N561" s="14" t="str">
        <f t="shared" si="68"/>
        <v/>
      </c>
      <c r="S561" s="217" t="str">
        <f t="shared" si="64"/>
        <v/>
      </c>
      <c r="T561" s="218" t="str">
        <f t="shared" si="62"/>
        <v/>
      </c>
      <c r="U561" s="219" t="str">
        <f>IF(S561="","",'Loan Terms'!$H$14)</f>
        <v/>
      </c>
      <c r="V561" s="220" t="str">
        <f t="shared" si="69"/>
        <v/>
      </c>
    </row>
    <row r="562" spans="2:22" ht="14.25" customHeight="1" x14ac:dyDescent="0.2">
      <c r="B562" s="126" t="str">
        <f>IF(OR(B561="",B561='Loan Terms'!$H$9*12),"",B561+1)</f>
        <v/>
      </c>
      <c r="C562" s="128" t="str">
        <f>IF(B562="","",IF('Loan Terms'!$H$15="30/360",30,D562-D561))</f>
        <v/>
      </c>
      <c r="D562" s="129" t="str">
        <f t="shared" si="65"/>
        <v/>
      </c>
      <c r="E562" s="129" t="str">
        <f>IF(B562="","",IF(B562&lt;='Loan Terms'!$G$10,"Yes","No"))</f>
        <v/>
      </c>
      <c r="F562" s="101" t="str">
        <f>IF(B562="","",IF('Loan Terms'!$C$13="Fixed",'Loan Terms'!$H$17,V562))</f>
        <v/>
      </c>
      <c r="G562" s="12" t="str">
        <f t="shared" si="66"/>
        <v/>
      </c>
      <c r="H562" s="12" t="str">
        <f>IF(G562="","",IF('Loan Terms'!$C$13="Fixed",(E562="Yes")*J562+(E562="No")*'Loan Terms'!$H$19,PMT(F562/12,'Loan Terms'!$G$11-B562+1,-G562)))</f>
        <v/>
      </c>
      <c r="I562" s="12" t="str">
        <f>IF(B562="","",IF(B562='Loan Terms'!$H$9*12,G562,H562-J562))</f>
        <v/>
      </c>
      <c r="J562" s="130" t="str">
        <f>IF(B562="","",IF('Loan Terms'!$H$15="Actual/365",F562*(C562/365),F562*(C562/360))*G562)</f>
        <v/>
      </c>
      <c r="K562" s="12" t="str">
        <f t="shared" si="63"/>
        <v/>
      </c>
      <c r="L562" s="130" t="str">
        <f t="shared" si="67"/>
        <v/>
      </c>
      <c r="N562" s="14" t="str">
        <f t="shared" si="68"/>
        <v/>
      </c>
      <c r="S562" s="217" t="str">
        <f t="shared" si="64"/>
        <v/>
      </c>
      <c r="T562" s="218" t="str">
        <f t="shared" si="62"/>
        <v/>
      </c>
      <c r="U562" s="219" t="str">
        <f>IF(S562="","",'Loan Terms'!$H$14)</f>
        <v/>
      </c>
      <c r="V562" s="220" t="str">
        <f t="shared" si="69"/>
        <v/>
      </c>
    </row>
    <row r="563" spans="2:22" ht="14.25" customHeight="1" x14ac:dyDescent="0.2">
      <c r="B563" s="126" t="str">
        <f>IF(OR(B562="",B562='Loan Terms'!$H$9*12),"",B562+1)</f>
        <v/>
      </c>
      <c r="C563" s="128" t="str">
        <f>IF(B563="","",IF('Loan Terms'!$H$15="30/360",30,D563-D562))</f>
        <v/>
      </c>
      <c r="D563" s="129" t="str">
        <f t="shared" si="65"/>
        <v/>
      </c>
      <c r="E563" s="129" t="str">
        <f>IF(B563="","",IF(B563&lt;='Loan Terms'!$G$10,"Yes","No"))</f>
        <v/>
      </c>
      <c r="F563" s="101" t="str">
        <f>IF(B563="","",IF('Loan Terms'!$C$13="Fixed",'Loan Terms'!$H$17,V563))</f>
        <v/>
      </c>
      <c r="G563" s="12" t="str">
        <f t="shared" si="66"/>
        <v/>
      </c>
      <c r="H563" s="12" t="str">
        <f>IF(G563="","",IF('Loan Terms'!$C$13="Fixed",(E563="Yes")*J563+(E563="No")*'Loan Terms'!$H$19,PMT(F563/12,'Loan Terms'!$G$11-B563+1,-G563)))</f>
        <v/>
      </c>
      <c r="I563" s="12" t="str">
        <f>IF(B563="","",IF(B563='Loan Terms'!$H$9*12,G563,H563-J563))</f>
        <v/>
      </c>
      <c r="J563" s="130" t="str">
        <f>IF(B563="","",IF('Loan Terms'!$H$15="Actual/365",F563*(C563/365),F563*(C563/360))*G563)</f>
        <v/>
      </c>
      <c r="K563" s="12" t="str">
        <f t="shared" si="63"/>
        <v/>
      </c>
      <c r="L563" s="130" t="str">
        <f t="shared" si="67"/>
        <v/>
      </c>
      <c r="N563" s="14" t="str">
        <f t="shared" si="68"/>
        <v/>
      </c>
      <c r="S563" s="217" t="str">
        <f t="shared" si="64"/>
        <v/>
      </c>
      <c r="T563" s="218" t="str">
        <f t="shared" si="62"/>
        <v/>
      </c>
      <c r="U563" s="219" t="str">
        <f>IF(S563="","",'Loan Terms'!$H$14)</f>
        <v/>
      </c>
      <c r="V563" s="220" t="str">
        <f t="shared" si="69"/>
        <v/>
      </c>
    </row>
    <row r="564" spans="2:22" ht="14.25" customHeight="1" x14ac:dyDescent="0.2">
      <c r="B564" s="126" t="str">
        <f>IF(OR(B563="",B563='Loan Terms'!$H$9*12),"",B563+1)</f>
        <v/>
      </c>
      <c r="C564" s="128" t="str">
        <f>IF(B564="","",IF('Loan Terms'!$H$15="30/360",30,D564-D563))</f>
        <v/>
      </c>
      <c r="D564" s="129" t="str">
        <f t="shared" si="65"/>
        <v/>
      </c>
      <c r="E564" s="129" t="str">
        <f>IF(B564="","",IF(B564&lt;='Loan Terms'!$G$10,"Yes","No"))</f>
        <v/>
      </c>
      <c r="F564" s="101" t="str">
        <f>IF(B564="","",IF('Loan Terms'!$C$13="Fixed",'Loan Terms'!$H$17,V564))</f>
        <v/>
      </c>
      <c r="G564" s="12" t="str">
        <f t="shared" si="66"/>
        <v/>
      </c>
      <c r="H564" s="12" t="str">
        <f>IF(G564="","",IF('Loan Terms'!$C$13="Fixed",(E564="Yes")*J564+(E564="No")*'Loan Terms'!$H$19,PMT(F564/12,'Loan Terms'!$G$11-B564+1,-G564)))</f>
        <v/>
      </c>
      <c r="I564" s="12" t="str">
        <f>IF(B564="","",IF(B564='Loan Terms'!$H$9*12,G564,H564-J564))</f>
        <v/>
      </c>
      <c r="J564" s="130" t="str">
        <f>IF(B564="","",IF('Loan Terms'!$H$15="Actual/365",F564*(C564/365),F564*(C564/360))*G564)</f>
        <v/>
      </c>
      <c r="K564" s="12" t="str">
        <f t="shared" si="63"/>
        <v/>
      </c>
      <c r="L564" s="130" t="str">
        <f t="shared" si="67"/>
        <v/>
      </c>
      <c r="N564" s="14" t="str">
        <f t="shared" si="68"/>
        <v/>
      </c>
      <c r="S564" s="217" t="str">
        <f t="shared" si="64"/>
        <v/>
      </c>
      <c r="T564" s="218" t="str">
        <f t="shared" si="62"/>
        <v/>
      </c>
      <c r="U564" s="219" t="str">
        <f>IF(S564="","",'Loan Terms'!$H$14)</f>
        <v/>
      </c>
      <c r="V564" s="220" t="str">
        <f t="shared" si="69"/>
        <v/>
      </c>
    </row>
    <row r="565" spans="2:22" ht="14.25" customHeight="1" x14ac:dyDescent="0.2">
      <c r="B565" s="126" t="str">
        <f>IF(OR(B564="",B564='Loan Terms'!$H$9*12),"",B564+1)</f>
        <v/>
      </c>
      <c r="C565" s="128" t="str">
        <f>IF(B565="","",IF('Loan Terms'!$H$15="30/360",30,D565-D564))</f>
        <v/>
      </c>
      <c r="D565" s="129" t="str">
        <f t="shared" si="65"/>
        <v/>
      </c>
      <c r="E565" s="129" t="str">
        <f>IF(B565="","",IF(B565&lt;='Loan Terms'!$G$10,"Yes","No"))</f>
        <v/>
      </c>
      <c r="F565" s="101" t="str">
        <f>IF(B565="","",IF('Loan Terms'!$C$13="Fixed",'Loan Terms'!$H$17,V565))</f>
        <v/>
      </c>
      <c r="G565" s="12" t="str">
        <f t="shared" si="66"/>
        <v/>
      </c>
      <c r="H565" s="12" t="str">
        <f>IF(G565="","",IF('Loan Terms'!$C$13="Fixed",(E565="Yes")*J565+(E565="No")*'Loan Terms'!$H$19,PMT(F565/12,'Loan Terms'!$G$11-B565+1,-G565)))</f>
        <v/>
      </c>
      <c r="I565" s="12" t="str">
        <f>IF(B565="","",IF(B565='Loan Terms'!$H$9*12,G565,H565-J565))</f>
        <v/>
      </c>
      <c r="J565" s="130" t="str">
        <f>IF(B565="","",IF('Loan Terms'!$H$15="Actual/365",F565*(C565/365),F565*(C565/360))*G565)</f>
        <v/>
      </c>
      <c r="K565" s="12" t="str">
        <f t="shared" si="63"/>
        <v/>
      </c>
      <c r="L565" s="130" t="str">
        <f t="shared" si="67"/>
        <v/>
      </c>
      <c r="N565" s="14" t="str">
        <f t="shared" si="68"/>
        <v/>
      </c>
      <c r="S565" s="217" t="str">
        <f t="shared" si="64"/>
        <v/>
      </c>
      <c r="T565" s="218" t="str">
        <f t="shared" si="62"/>
        <v/>
      </c>
      <c r="U565" s="219" t="str">
        <f>IF(S565="","",'Loan Terms'!$H$14)</f>
        <v/>
      </c>
      <c r="V565" s="220" t="str">
        <f t="shared" si="69"/>
        <v/>
      </c>
    </row>
    <row r="566" spans="2:22" ht="14.25" customHeight="1" x14ac:dyDescent="0.2">
      <c r="B566" s="126" t="str">
        <f>IF(OR(B565="",B565='Loan Terms'!$H$9*12),"",B565+1)</f>
        <v/>
      </c>
      <c r="C566" s="128" t="str">
        <f>IF(B566="","",IF('Loan Terms'!$H$15="30/360",30,D566-D565))</f>
        <v/>
      </c>
      <c r="D566" s="129" t="str">
        <f t="shared" si="65"/>
        <v/>
      </c>
      <c r="E566" s="129" t="str">
        <f>IF(B566="","",IF(B566&lt;='Loan Terms'!$G$10,"Yes","No"))</f>
        <v/>
      </c>
      <c r="F566" s="101" t="str">
        <f>IF(B566="","",IF('Loan Terms'!$C$13="Fixed",'Loan Terms'!$H$17,V566))</f>
        <v/>
      </c>
      <c r="G566" s="12" t="str">
        <f t="shared" si="66"/>
        <v/>
      </c>
      <c r="H566" s="12" t="str">
        <f>IF(G566="","",IF('Loan Terms'!$C$13="Fixed",(E566="Yes")*J566+(E566="No")*'Loan Terms'!$H$19,PMT(F566/12,'Loan Terms'!$G$11-B566+1,-G566)))</f>
        <v/>
      </c>
      <c r="I566" s="12" t="str">
        <f>IF(B566="","",IF(B566='Loan Terms'!$H$9*12,G566,H566-J566))</f>
        <v/>
      </c>
      <c r="J566" s="130" t="str">
        <f>IF(B566="","",IF('Loan Terms'!$H$15="Actual/365",F566*(C566/365),F566*(C566/360))*G566)</f>
        <v/>
      </c>
      <c r="K566" s="12" t="str">
        <f t="shared" si="63"/>
        <v/>
      </c>
      <c r="L566" s="130" t="str">
        <f t="shared" si="67"/>
        <v/>
      </c>
      <c r="N566" s="14" t="str">
        <f t="shared" si="68"/>
        <v/>
      </c>
      <c r="S566" s="217" t="str">
        <f t="shared" si="64"/>
        <v/>
      </c>
      <c r="T566" s="218" t="str">
        <f t="shared" si="62"/>
        <v/>
      </c>
      <c r="U566" s="219" t="str">
        <f>IF(S566="","",'Loan Terms'!$H$14)</f>
        <v/>
      </c>
      <c r="V566" s="220" t="str">
        <f t="shared" si="69"/>
        <v/>
      </c>
    </row>
    <row r="567" spans="2:22" ht="14.25" customHeight="1" x14ac:dyDescent="0.2">
      <c r="B567" s="126" t="str">
        <f>IF(OR(B566="",B566='Loan Terms'!$H$9*12),"",B566+1)</f>
        <v/>
      </c>
      <c r="C567" s="128" t="str">
        <f>IF(B567="","",IF('Loan Terms'!$H$15="30/360",30,D567-D566))</f>
        <v/>
      </c>
      <c r="D567" s="129" t="str">
        <f t="shared" si="65"/>
        <v/>
      </c>
      <c r="E567" s="129" t="str">
        <f>IF(B567="","",IF(B567&lt;='Loan Terms'!$G$10,"Yes","No"))</f>
        <v/>
      </c>
      <c r="F567" s="101" t="str">
        <f>IF(B567="","",IF('Loan Terms'!$C$13="Fixed",'Loan Terms'!$H$17,V567))</f>
        <v/>
      </c>
      <c r="G567" s="12" t="str">
        <f t="shared" si="66"/>
        <v/>
      </c>
      <c r="H567" s="12" t="str">
        <f>IF(G567="","",IF('Loan Terms'!$C$13="Fixed",(E567="Yes")*J567+(E567="No")*'Loan Terms'!$H$19,PMT(F567/12,'Loan Terms'!$G$11-B567+1,-G567)))</f>
        <v/>
      </c>
      <c r="I567" s="12" t="str">
        <f>IF(B567="","",IF(B567='Loan Terms'!$H$9*12,G567,H567-J567))</f>
        <v/>
      </c>
      <c r="J567" s="130" t="str">
        <f>IF(B567="","",IF('Loan Terms'!$H$15="Actual/365",F567*(C567/365),F567*(C567/360))*G567)</f>
        <v/>
      </c>
      <c r="K567" s="12" t="str">
        <f t="shared" si="63"/>
        <v/>
      </c>
      <c r="L567" s="130" t="str">
        <f t="shared" si="67"/>
        <v/>
      </c>
      <c r="N567" s="14" t="str">
        <f t="shared" si="68"/>
        <v/>
      </c>
      <c r="S567" s="217" t="str">
        <f t="shared" si="64"/>
        <v/>
      </c>
      <c r="T567" s="218" t="str">
        <f t="shared" si="62"/>
        <v/>
      </c>
      <c r="U567" s="219" t="str">
        <f>IF(S567="","",'Loan Terms'!$H$14)</f>
        <v/>
      </c>
      <c r="V567" s="220" t="str">
        <f t="shared" si="69"/>
        <v/>
      </c>
    </row>
    <row r="568" spans="2:22" ht="14.25" customHeight="1" x14ac:dyDescent="0.2">
      <c r="B568" s="126" t="str">
        <f>IF(OR(B567="",B567='Loan Terms'!$H$9*12),"",B567+1)</f>
        <v/>
      </c>
      <c r="C568" s="128" t="str">
        <f>IF(B568="","",IF('Loan Terms'!$H$15="30/360",30,D568-D567))</f>
        <v/>
      </c>
      <c r="D568" s="129" t="str">
        <f t="shared" si="65"/>
        <v/>
      </c>
      <c r="E568" s="129" t="str">
        <f>IF(B568="","",IF(B568&lt;='Loan Terms'!$G$10,"Yes","No"))</f>
        <v/>
      </c>
      <c r="F568" s="101" t="str">
        <f>IF(B568="","",IF('Loan Terms'!$C$13="Fixed",'Loan Terms'!$H$17,V568))</f>
        <v/>
      </c>
      <c r="G568" s="12" t="str">
        <f t="shared" si="66"/>
        <v/>
      </c>
      <c r="H568" s="12" t="str">
        <f>IF(G568="","",IF('Loan Terms'!$C$13="Fixed",(E568="Yes")*J568+(E568="No")*'Loan Terms'!$H$19,PMT(F568/12,'Loan Terms'!$G$11-B568+1,-G568)))</f>
        <v/>
      </c>
      <c r="I568" s="12" t="str">
        <f>IF(B568="","",IF(B568='Loan Terms'!$H$9*12,G568,H568-J568))</f>
        <v/>
      </c>
      <c r="J568" s="130" t="str">
        <f>IF(B568="","",IF('Loan Terms'!$H$15="Actual/365",F568*(C568/365),F568*(C568/360))*G568)</f>
        <v/>
      </c>
      <c r="K568" s="12" t="str">
        <f t="shared" si="63"/>
        <v/>
      </c>
      <c r="L568" s="130" t="str">
        <f t="shared" si="67"/>
        <v/>
      </c>
      <c r="N568" s="14" t="str">
        <f t="shared" si="68"/>
        <v/>
      </c>
      <c r="S568" s="217" t="str">
        <f t="shared" si="64"/>
        <v/>
      </c>
      <c r="T568" s="218" t="str">
        <f t="shared" si="62"/>
        <v/>
      </c>
      <c r="U568" s="219" t="str">
        <f>IF(S568="","",'Loan Terms'!$H$14)</f>
        <v/>
      </c>
      <c r="V568" s="220" t="str">
        <f t="shared" si="69"/>
        <v/>
      </c>
    </row>
    <row r="569" spans="2:22" ht="14.25" customHeight="1" x14ac:dyDescent="0.2">
      <c r="B569" s="126" t="str">
        <f>IF(OR(B568="",B568='Loan Terms'!$H$9*12),"",B568+1)</f>
        <v/>
      </c>
      <c r="C569" s="128" t="str">
        <f>IF(B569="","",IF('Loan Terms'!$H$15="30/360",30,D569-D568))</f>
        <v/>
      </c>
      <c r="D569" s="129" t="str">
        <f t="shared" si="65"/>
        <v/>
      </c>
      <c r="E569" s="129" t="str">
        <f>IF(B569="","",IF(B569&lt;='Loan Terms'!$G$10,"Yes","No"))</f>
        <v/>
      </c>
      <c r="F569" s="101" t="str">
        <f>IF(B569="","",IF('Loan Terms'!$C$13="Fixed",'Loan Terms'!$H$17,V569))</f>
        <v/>
      </c>
      <c r="G569" s="12" t="str">
        <f t="shared" si="66"/>
        <v/>
      </c>
      <c r="H569" s="12" t="str">
        <f>IF(G569="","",IF('Loan Terms'!$C$13="Fixed",(E569="Yes")*J569+(E569="No")*'Loan Terms'!$H$19,PMT(F569/12,'Loan Terms'!$G$11-B569+1,-G569)))</f>
        <v/>
      </c>
      <c r="I569" s="12" t="str">
        <f>IF(B569="","",IF(B569='Loan Terms'!$H$9*12,G569,H569-J569))</f>
        <v/>
      </c>
      <c r="J569" s="130" t="str">
        <f>IF(B569="","",IF('Loan Terms'!$H$15="Actual/365",F569*(C569/365),F569*(C569/360))*G569)</f>
        <v/>
      </c>
      <c r="K569" s="12" t="str">
        <f t="shared" si="63"/>
        <v/>
      </c>
      <c r="L569" s="130" t="str">
        <f t="shared" si="67"/>
        <v/>
      </c>
      <c r="N569" s="14" t="str">
        <f t="shared" si="68"/>
        <v/>
      </c>
      <c r="S569" s="217" t="str">
        <f t="shared" si="64"/>
        <v/>
      </c>
      <c r="T569" s="218" t="str">
        <f t="shared" si="62"/>
        <v/>
      </c>
      <c r="U569" s="219" t="str">
        <f>IF(S569="","",'Loan Terms'!$H$14)</f>
        <v/>
      </c>
      <c r="V569" s="220" t="str">
        <f t="shared" si="69"/>
        <v/>
      </c>
    </row>
    <row r="570" spans="2:22" ht="14.25" customHeight="1" x14ac:dyDescent="0.2">
      <c r="B570" s="126" t="str">
        <f>IF(OR(B569="",B569='Loan Terms'!$H$9*12),"",B569+1)</f>
        <v/>
      </c>
      <c r="C570" s="128" t="str">
        <f>IF(B570="","",IF('Loan Terms'!$H$15="30/360",30,D570-D569))</f>
        <v/>
      </c>
      <c r="D570" s="129" t="str">
        <f t="shared" si="65"/>
        <v/>
      </c>
      <c r="E570" s="129" t="str">
        <f>IF(B570="","",IF(B570&lt;='Loan Terms'!$G$10,"Yes","No"))</f>
        <v/>
      </c>
      <c r="F570" s="101" t="str">
        <f>IF(B570="","",IF('Loan Terms'!$C$13="Fixed",'Loan Terms'!$H$17,V570))</f>
        <v/>
      </c>
      <c r="G570" s="12" t="str">
        <f t="shared" si="66"/>
        <v/>
      </c>
      <c r="H570" s="12" t="str">
        <f>IF(G570="","",IF('Loan Terms'!$C$13="Fixed",(E570="Yes")*J570+(E570="No")*'Loan Terms'!$H$19,PMT(F570/12,'Loan Terms'!$G$11-B570+1,-G570)))</f>
        <v/>
      </c>
      <c r="I570" s="12" t="str">
        <f>IF(B570="","",IF(B570='Loan Terms'!$H$9*12,G570,H570-J570))</f>
        <v/>
      </c>
      <c r="J570" s="130" t="str">
        <f>IF(B570="","",IF('Loan Terms'!$H$15="Actual/365",F570*(C570/365),F570*(C570/360))*G570)</f>
        <v/>
      </c>
      <c r="K570" s="12" t="str">
        <f t="shared" si="63"/>
        <v/>
      </c>
      <c r="L570" s="130" t="str">
        <f t="shared" si="67"/>
        <v/>
      </c>
      <c r="N570" s="14" t="str">
        <f t="shared" si="68"/>
        <v/>
      </c>
      <c r="S570" s="217" t="str">
        <f t="shared" si="64"/>
        <v/>
      </c>
      <c r="T570" s="218" t="str">
        <f t="shared" si="62"/>
        <v/>
      </c>
      <c r="U570" s="219" t="str">
        <f>IF(S570="","",'Loan Terms'!$H$14)</f>
        <v/>
      </c>
      <c r="V570" s="220" t="str">
        <f t="shared" si="69"/>
        <v/>
      </c>
    </row>
    <row r="571" spans="2:22" ht="14.25" customHeight="1" x14ac:dyDescent="0.2">
      <c r="B571" s="126" t="str">
        <f>IF(OR(B570="",B570='Loan Terms'!$H$9*12),"",B570+1)</f>
        <v/>
      </c>
      <c r="C571" s="128" t="str">
        <f>IF(B571="","",IF('Loan Terms'!$H$15="30/360",30,D571-D570))</f>
        <v/>
      </c>
      <c r="D571" s="129" t="str">
        <f t="shared" si="65"/>
        <v/>
      </c>
      <c r="E571" s="129" t="str">
        <f>IF(B571="","",IF(B571&lt;='Loan Terms'!$G$10,"Yes","No"))</f>
        <v/>
      </c>
      <c r="F571" s="101" t="str">
        <f>IF(B571="","",IF('Loan Terms'!$C$13="Fixed",'Loan Terms'!$H$17,V571))</f>
        <v/>
      </c>
      <c r="G571" s="12" t="str">
        <f t="shared" si="66"/>
        <v/>
      </c>
      <c r="H571" s="12" t="str">
        <f>IF(G571="","",IF('Loan Terms'!$C$13="Fixed",(E571="Yes")*J571+(E571="No")*'Loan Terms'!$H$19,PMT(F571/12,'Loan Terms'!$G$11-B571+1,-G571)))</f>
        <v/>
      </c>
      <c r="I571" s="12" t="str">
        <f>IF(B571="","",IF(B571='Loan Terms'!$H$9*12,G571,H571-J571))</f>
        <v/>
      </c>
      <c r="J571" s="130" t="str">
        <f>IF(B571="","",IF('Loan Terms'!$H$15="Actual/365",F571*(C571/365),F571*(C571/360))*G571)</f>
        <v/>
      </c>
      <c r="K571" s="12" t="str">
        <f t="shared" si="63"/>
        <v/>
      </c>
      <c r="L571" s="130" t="str">
        <f t="shared" si="67"/>
        <v/>
      </c>
      <c r="N571" s="14" t="str">
        <f t="shared" si="68"/>
        <v/>
      </c>
      <c r="S571" s="217" t="str">
        <f t="shared" si="64"/>
        <v/>
      </c>
      <c r="T571" s="218" t="str">
        <f t="shared" si="62"/>
        <v/>
      </c>
      <c r="U571" s="219" t="str">
        <f>IF(S571="","",'Loan Terms'!$H$14)</f>
        <v/>
      </c>
      <c r="V571" s="220" t="str">
        <f t="shared" si="69"/>
        <v/>
      </c>
    </row>
    <row r="572" spans="2:22" ht="14.25" customHeight="1" x14ac:dyDescent="0.2">
      <c r="B572" s="126" t="str">
        <f>IF(OR(B571="",B571='Loan Terms'!$H$9*12),"",B571+1)</f>
        <v/>
      </c>
      <c r="C572" s="128" t="str">
        <f>IF(B572="","",IF('Loan Terms'!$H$15="30/360",30,D572-D571))</f>
        <v/>
      </c>
      <c r="D572" s="129" t="str">
        <f t="shared" si="65"/>
        <v/>
      </c>
      <c r="E572" s="129" t="str">
        <f>IF(B572="","",IF(B572&lt;='Loan Terms'!$G$10,"Yes","No"))</f>
        <v/>
      </c>
      <c r="F572" s="101" t="str">
        <f>IF(B572="","",IF('Loan Terms'!$C$13="Fixed",'Loan Terms'!$H$17,V572))</f>
        <v/>
      </c>
      <c r="G572" s="12" t="str">
        <f t="shared" si="66"/>
        <v/>
      </c>
      <c r="H572" s="12" t="str">
        <f>IF(G572="","",IF('Loan Terms'!$C$13="Fixed",(E572="Yes")*J572+(E572="No")*'Loan Terms'!$H$19,PMT(F572/12,'Loan Terms'!$G$11-B572+1,-G572)))</f>
        <v/>
      </c>
      <c r="I572" s="12" t="str">
        <f>IF(B572="","",IF(B572='Loan Terms'!$H$9*12,G572,H572-J572))</f>
        <v/>
      </c>
      <c r="J572" s="130" t="str">
        <f>IF(B572="","",IF('Loan Terms'!$H$15="Actual/365",F572*(C572/365),F572*(C572/360))*G572)</f>
        <v/>
      </c>
      <c r="K572" s="12" t="str">
        <f t="shared" si="63"/>
        <v/>
      </c>
      <c r="L572" s="130" t="str">
        <f t="shared" si="67"/>
        <v/>
      </c>
      <c r="N572" s="14" t="str">
        <f t="shared" si="68"/>
        <v/>
      </c>
      <c r="S572" s="217" t="str">
        <f t="shared" si="64"/>
        <v/>
      </c>
      <c r="T572" s="218" t="str">
        <f t="shared" si="62"/>
        <v/>
      </c>
      <c r="U572" s="219" t="str">
        <f>IF(S572="","",'Loan Terms'!$H$14)</f>
        <v/>
      </c>
      <c r="V572" s="220" t="str">
        <f t="shared" si="69"/>
        <v/>
      </c>
    </row>
    <row r="573" spans="2:22" ht="14.25" customHeight="1" x14ac:dyDescent="0.2">
      <c r="B573" s="126" t="str">
        <f>IF(OR(B572="",B572='Loan Terms'!$H$9*12),"",B572+1)</f>
        <v/>
      </c>
      <c r="C573" s="128" t="str">
        <f>IF(B573="","",IF('Loan Terms'!$H$15="30/360",30,D573-D572))</f>
        <v/>
      </c>
      <c r="D573" s="129" t="str">
        <f t="shared" si="65"/>
        <v/>
      </c>
      <c r="E573" s="129" t="str">
        <f>IF(B573="","",IF(B573&lt;='Loan Terms'!$G$10,"Yes","No"))</f>
        <v/>
      </c>
      <c r="F573" s="101" t="str">
        <f>IF(B573="","",IF('Loan Terms'!$C$13="Fixed",'Loan Terms'!$H$17,V573))</f>
        <v/>
      </c>
      <c r="G573" s="12" t="str">
        <f t="shared" si="66"/>
        <v/>
      </c>
      <c r="H573" s="12" t="str">
        <f>IF(G573="","",IF('Loan Terms'!$C$13="Fixed",(E573="Yes")*J573+(E573="No")*'Loan Terms'!$H$19,PMT(F573/12,'Loan Terms'!$G$11-B573+1,-G573)))</f>
        <v/>
      </c>
      <c r="I573" s="12" t="str">
        <f>IF(B573="","",IF(B573='Loan Terms'!$H$9*12,G573,H573-J573))</f>
        <v/>
      </c>
      <c r="J573" s="130" t="str">
        <f>IF(B573="","",IF('Loan Terms'!$H$15="Actual/365",F573*(C573/365),F573*(C573/360))*G573)</f>
        <v/>
      </c>
      <c r="K573" s="12" t="str">
        <f t="shared" si="63"/>
        <v/>
      </c>
      <c r="L573" s="130" t="str">
        <f t="shared" si="67"/>
        <v/>
      </c>
      <c r="N573" s="14" t="str">
        <f t="shared" si="68"/>
        <v/>
      </c>
      <c r="S573" s="217" t="str">
        <f t="shared" si="64"/>
        <v/>
      </c>
      <c r="T573" s="218" t="str">
        <f t="shared" si="62"/>
        <v/>
      </c>
      <c r="U573" s="219" t="str">
        <f>IF(S573="","",'Loan Terms'!$H$14)</f>
        <v/>
      </c>
      <c r="V573" s="220" t="str">
        <f t="shared" si="69"/>
        <v/>
      </c>
    </row>
    <row r="574" spans="2:22" ht="14.25" customHeight="1" x14ac:dyDescent="0.2">
      <c r="B574" s="126" t="str">
        <f>IF(OR(B573="",B573='Loan Terms'!$H$9*12),"",B573+1)</f>
        <v/>
      </c>
      <c r="C574" s="128" t="str">
        <f>IF(B574="","",IF('Loan Terms'!$H$15="30/360",30,D574-D573))</f>
        <v/>
      </c>
      <c r="D574" s="129" t="str">
        <f t="shared" si="65"/>
        <v/>
      </c>
      <c r="E574" s="129" t="str">
        <f>IF(B574="","",IF(B574&lt;='Loan Terms'!$G$10,"Yes","No"))</f>
        <v/>
      </c>
      <c r="F574" s="101" t="str">
        <f>IF(B574="","",IF('Loan Terms'!$C$13="Fixed",'Loan Terms'!$H$17,V574))</f>
        <v/>
      </c>
      <c r="G574" s="12" t="str">
        <f t="shared" si="66"/>
        <v/>
      </c>
      <c r="H574" s="12" t="str">
        <f>IF(G574="","",IF('Loan Terms'!$C$13="Fixed",(E574="Yes")*J574+(E574="No")*'Loan Terms'!$H$19,PMT(F574/12,'Loan Terms'!$G$11-B574+1,-G574)))</f>
        <v/>
      </c>
      <c r="I574" s="12" t="str">
        <f>IF(B574="","",IF(B574='Loan Terms'!$H$9*12,G574,H574-J574))</f>
        <v/>
      </c>
      <c r="J574" s="130" t="str">
        <f>IF(B574="","",IF('Loan Terms'!$H$15="Actual/365",F574*(C574/365),F574*(C574/360))*G574)</f>
        <v/>
      </c>
      <c r="K574" s="12" t="str">
        <f t="shared" si="63"/>
        <v/>
      </c>
      <c r="L574" s="130" t="str">
        <f t="shared" si="67"/>
        <v/>
      </c>
      <c r="N574" s="14" t="str">
        <f t="shared" si="68"/>
        <v/>
      </c>
      <c r="S574" s="217" t="str">
        <f t="shared" si="64"/>
        <v/>
      </c>
      <c r="T574" s="218" t="str">
        <f t="shared" si="62"/>
        <v/>
      </c>
      <c r="U574" s="219" t="str">
        <f>IF(S574="","",'Loan Terms'!$H$14)</f>
        <v/>
      </c>
      <c r="V574" s="220" t="str">
        <f t="shared" si="69"/>
        <v/>
      </c>
    </row>
    <row r="575" spans="2:22" ht="14.25" customHeight="1" x14ac:dyDescent="0.2">
      <c r="B575" s="126" t="str">
        <f>IF(OR(B574="",B574='Loan Terms'!$H$9*12),"",B574+1)</f>
        <v/>
      </c>
      <c r="C575" s="128" t="str">
        <f>IF(B575="","",IF('Loan Terms'!$H$15="30/360",30,D575-D574))</f>
        <v/>
      </c>
      <c r="D575" s="129" t="str">
        <f t="shared" si="65"/>
        <v/>
      </c>
      <c r="E575" s="129" t="str">
        <f>IF(B575="","",IF(B575&lt;='Loan Terms'!$G$10,"Yes","No"))</f>
        <v/>
      </c>
      <c r="F575" s="101" t="str">
        <f>IF(B575="","",IF('Loan Terms'!$C$13="Fixed",'Loan Terms'!$H$17,V575))</f>
        <v/>
      </c>
      <c r="G575" s="12" t="str">
        <f t="shared" si="66"/>
        <v/>
      </c>
      <c r="H575" s="12" t="str">
        <f>IF(G575="","",IF('Loan Terms'!$C$13="Fixed",(E575="Yes")*J575+(E575="No")*'Loan Terms'!$H$19,PMT(F575/12,'Loan Terms'!$G$11-B575+1,-G575)))</f>
        <v/>
      </c>
      <c r="I575" s="12" t="str">
        <f>IF(B575="","",IF(B575='Loan Terms'!$H$9*12,G575,H575-J575))</f>
        <v/>
      </c>
      <c r="J575" s="130" t="str">
        <f>IF(B575="","",IF('Loan Terms'!$H$15="Actual/365",F575*(C575/365),F575*(C575/360))*G575)</f>
        <v/>
      </c>
      <c r="K575" s="12" t="str">
        <f t="shared" si="63"/>
        <v/>
      </c>
      <c r="L575" s="130" t="str">
        <f t="shared" si="67"/>
        <v/>
      </c>
      <c r="N575" s="14" t="str">
        <f t="shared" si="68"/>
        <v/>
      </c>
      <c r="S575" s="217" t="str">
        <f t="shared" si="64"/>
        <v/>
      </c>
      <c r="T575" s="218" t="str">
        <f t="shared" ref="T575:T605" si="70">IF(S575="","",T574)</f>
        <v/>
      </c>
      <c r="U575" s="219" t="str">
        <f>IF(S575="","",'Loan Terms'!$H$14)</f>
        <v/>
      </c>
      <c r="V575" s="220" t="str">
        <f t="shared" si="69"/>
        <v/>
      </c>
    </row>
    <row r="576" spans="2:22" ht="14.25" customHeight="1" x14ac:dyDescent="0.2">
      <c r="B576" s="126" t="str">
        <f>IF(OR(B575="",B575='Loan Terms'!$H$9*12),"",B575+1)</f>
        <v/>
      </c>
      <c r="C576" s="128" t="str">
        <f>IF(B576="","",IF('Loan Terms'!$H$15="30/360",30,D576-D575))</f>
        <v/>
      </c>
      <c r="D576" s="129" t="str">
        <f t="shared" si="65"/>
        <v/>
      </c>
      <c r="E576" s="129" t="str">
        <f>IF(B576="","",IF(B576&lt;='Loan Terms'!$G$10,"Yes","No"))</f>
        <v/>
      </c>
      <c r="F576" s="101" t="str">
        <f>IF(B576="","",IF('Loan Terms'!$C$13="Fixed",'Loan Terms'!$H$17,V576))</f>
        <v/>
      </c>
      <c r="G576" s="12" t="str">
        <f t="shared" si="66"/>
        <v/>
      </c>
      <c r="H576" s="12" t="str">
        <f>IF(G576="","",IF('Loan Terms'!$C$13="Fixed",(E576="Yes")*J576+(E576="No")*'Loan Terms'!$H$19,PMT(F576/12,'Loan Terms'!$G$11-B576+1,-G576)))</f>
        <v/>
      </c>
      <c r="I576" s="12" t="str">
        <f>IF(B576="","",IF(B576='Loan Terms'!$H$9*12,G576,H576-J576))</f>
        <v/>
      </c>
      <c r="J576" s="130" t="str">
        <f>IF(B576="","",IF('Loan Terms'!$H$15="Actual/365",F576*(C576/365),F576*(C576/360))*G576)</f>
        <v/>
      </c>
      <c r="K576" s="12" t="str">
        <f t="shared" si="63"/>
        <v/>
      </c>
      <c r="L576" s="130" t="str">
        <f t="shared" si="67"/>
        <v/>
      </c>
      <c r="N576" s="14" t="str">
        <f t="shared" si="68"/>
        <v/>
      </c>
      <c r="S576" s="217" t="str">
        <f t="shared" si="64"/>
        <v/>
      </c>
      <c r="T576" s="218" t="str">
        <f t="shared" si="70"/>
        <v/>
      </c>
      <c r="U576" s="219" t="str">
        <f>IF(S576="","",'Loan Terms'!$H$14)</f>
        <v/>
      </c>
      <c r="V576" s="220" t="str">
        <f t="shared" si="69"/>
        <v/>
      </c>
    </row>
    <row r="577" spans="2:22" ht="14.25" customHeight="1" x14ac:dyDescent="0.2">
      <c r="B577" s="126" t="str">
        <f>IF(OR(B576="",B576='Loan Terms'!$H$9*12),"",B576+1)</f>
        <v/>
      </c>
      <c r="C577" s="128" t="str">
        <f>IF(B577="","",IF('Loan Terms'!$H$15="30/360",30,D577-D576))</f>
        <v/>
      </c>
      <c r="D577" s="129" t="str">
        <f t="shared" si="65"/>
        <v/>
      </c>
      <c r="E577" s="129" t="str">
        <f>IF(B577="","",IF(B577&lt;='Loan Terms'!$G$10,"Yes","No"))</f>
        <v/>
      </c>
      <c r="F577" s="101" t="str">
        <f>IF(B577="","",IF('Loan Terms'!$C$13="Fixed",'Loan Terms'!$H$17,V577))</f>
        <v/>
      </c>
      <c r="G577" s="12" t="str">
        <f t="shared" si="66"/>
        <v/>
      </c>
      <c r="H577" s="12" t="str">
        <f>IF(G577="","",IF('Loan Terms'!$C$13="Fixed",(E577="Yes")*J577+(E577="No")*'Loan Terms'!$H$19,PMT(F577/12,'Loan Terms'!$G$11-B577+1,-G577)))</f>
        <v/>
      </c>
      <c r="I577" s="12" t="str">
        <f>IF(B577="","",IF(B577='Loan Terms'!$H$9*12,G577,H577-J577))</f>
        <v/>
      </c>
      <c r="J577" s="130" t="str">
        <f>IF(B577="","",IF('Loan Terms'!$H$15="Actual/365",F577*(C577/365),F577*(C577/360))*G577)</f>
        <v/>
      </c>
      <c r="K577" s="12" t="str">
        <f t="shared" si="63"/>
        <v/>
      </c>
      <c r="L577" s="130" t="str">
        <f t="shared" si="67"/>
        <v/>
      </c>
      <c r="N577" s="14" t="str">
        <f t="shared" si="68"/>
        <v/>
      </c>
      <c r="S577" s="217" t="str">
        <f t="shared" si="64"/>
        <v/>
      </c>
      <c r="T577" s="218" t="str">
        <f t="shared" si="70"/>
        <v/>
      </c>
      <c r="U577" s="219" t="str">
        <f>IF(S577="","",'Loan Terms'!$H$14)</f>
        <v/>
      </c>
      <c r="V577" s="220" t="str">
        <f t="shared" si="69"/>
        <v/>
      </c>
    </row>
    <row r="578" spans="2:22" ht="14.25" customHeight="1" x14ac:dyDescent="0.2">
      <c r="B578" s="126" t="str">
        <f>IF(OR(B577="",B577='Loan Terms'!$H$9*12),"",B577+1)</f>
        <v/>
      </c>
      <c r="C578" s="128" t="str">
        <f>IF(B578="","",IF('Loan Terms'!$H$15="30/360",30,D578-D577))</f>
        <v/>
      </c>
      <c r="D578" s="129" t="str">
        <f t="shared" si="65"/>
        <v/>
      </c>
      <c r="E578" s="129" t="str">
        <f>IF(B578="","",IF(B578&lt;='Loan Terms'!$G$10,"Yes","No"))</f>
        <v/>
      </c>
      <c r="F578" s="101" t="str">
        <f>IF(B578="","",IF('Loan Terms'!$C$13="Fixed",'Loan Terms'!$H$17,V578))</f>
        <v/>
      </c>
      <c r="G578" s="12" t="str">
        <f t="shared" si="66"/>
        <v/>
      </c>
      <c r="H578" s="12" t="str">
        <f>IF(G578="","",IF('Loan Terms'!$C$13="Fixed",(E578="Yes")*J578+(E578="No")*'Loan Terms'!$H$19,PMT(F578/12,'Loan Terms'!$G$11-B578+1,-G578)))</f>
        <v/>
      </c>
      <c r="I578" s="12" t="str">
        <f>IF(B578="","",IF(B578='Loan Terms'!$H$9*12,G578,H578-J578))</f>
        <v/>
      </c>
      <c r="J578" s="130" t="str">
        <f>IF(B578="","",IF('Loan Terms'!$H$15="Actual/365",F578*(C578/365),F578*(C578/360))*G578)</f>
        <v/>
      </c>
      <c r="K578" s="12" t="str">
        <f t="shared" si="63"/>
        <v/>
      </c>
      <c r="L578" s="130" t="str">
        <f t="shared" si="67"/>
        <v/>
      </c>
      <c r="N578" s="14" t="str">
        <f t="shared" si="68"/>
        <v/>
      </c>
      <c r="S578" s="217" t="str">
        <f t="shared" si="64"/>
        <v/>
      </c>
      <c r="T578" s="218" t="str">
        <f t="shared" si="70"/>
        <v/>
      </c>
      <c r="U578" s="219" t="str">
        <f>IF(S578="","",'Loan Terms'!$H$14)</f>
        <v/>
      </c>
      <c r="V578" s="220" t="str">
        <f t="shared" si="69"/>
        <v/>
      </c>
    </row>
    <row r="579" spans="2:22" ht="14.25" customHeight="1" x14ac:dyDescent="0.2">
      <c r="B579" s="126" t="str">
        <f>IF(OR(B578="",B578='Loan Terms'!$H$9*12),"",B578+1)</f>
        <v/>
      </c>
      <c r="C579" s="128" t="str">
        <f>IF(B579="","",IF('Loan Terms'!$H$15="30/360",30,D579-D578))</f>
        <v/>
      </c>
      <c r="D579" s="129" t="str">
        <f t="shared" si="65"/>
        <v/>
      </c>
      <c r="E579" s="129" t="str">
        <f>IF(B579="","",IF(B579&lt;='Loan Terms'!$G$10,"Yes","No"))</f>
        <v/>
      </c>
      <c r="F579" s="101" t="str">
        <f>IF(B579="","",IF('Loan Terms'!$C$13="Fixed",'Loan Terms'!$H$17,V579))</f>
        <v/>
      </c>
      <c r="G579" s="12" t="str">
        <f t="shared" si="66"/>
        <v/>
      </c>
      <c r="H579" s="12" t="str">
        <f>IF(G579="","",IF('Loan Terms'!$C$13="Fixed",(E579="Yes")*J579+(E579="No")*'Loan Terms'!$H$19,PMT(F579/12,'Loan Terms'!$G$11-B579+1,-G579)))</f>
        <v/>
      </c>
      <c r="I579" s="12" t="str">
        <f>IF(B579="","",IF(B579='Loan Terms'!$H$9*12,G579,H579-J579))</f>
        <v/>
      </c>
      <c r="J579" s="130" t="str">
        <f>IF(B579="","",IF('Loan Terms'!$H$15="Actual/365",F579*(C579/365),F579*(C579/360))*G579)</f>
        <v/>
      </c>
      <c r="K579" s="12" t="str">
        <f t="shared" si="63"/>
        <v/>
      </c>
      <c r="L579" s="130" t="str">
        <f t="shared" si="67"/>
        <v/>
      </c>
      <c r="N579" s="14" t="str">
        <f t="shared" si="68"/>
        <v/>
      </c>
      <c r="S579" s="217" t="str">
        <f t="shared" si="64"/>
        <v/>
      </c>
      <c r="T579" s="218" t="str">
        <f t="shared" si="70"/>
        <v/>
      </c>
      <c r="U579" s="219" t="str">
        <f>IF(S579="","",'Loan Terms'!$H$14)</f>
        <v/>
      </c>
      <c r="V579" s="220" t="str">
        <f t="shared" si="69"/>
        <v/>
      </c>
    </row>
    <row r="580" spans="2:22" ht="14.25" customHeight="1" x14ac:dyDescent="0.2">
      <c r="B580" s="126" t="str">
        <f>IF(OR(B579="",B579='Loan Terms'!$H$9*12),"",B579+1)</f>
        <v/>
      </c>
      <c r="C580" s="128" t="str">
        <f>IF(B580="","",IF('Loan Terms'!$H$15="30/360",30,D580-D579))</f>
        <v/>
      </c>
      <c r="D580" s="129" t="str">
        <f t="shared" si="65"/>
        <v/>
      </c>
      <c r="E580" s="129" t="str">
        <f>IF(B580="","",IF(B580&lt;='Loan Terms'!$G$10,"Yes","No"))</f>
        <v/>
      </c>
      <c r="F580" s="101" t="str">
        <f>IF(B580="","",IF('Loan Terms'!$C$13="Fixed",'Loan Terms'!$H$17,V580))</f>
        <v/>
      </c>
      <c r="G580" s="12" t="str">
        <f t="shared" si="66"/>
        <v/>
      </c>
      <c r="H580" s="12" t="str">
        <f>IF(G580="","",IF('Loan Terms'!$C$13="Fixed",(E580="Yes")*J580+(E580="No")*'Loan Terms'!$H$19,PMT(F580/12,'Loan Terms'!$G$11-B580+1,-G580)))</f>
        <v/>
      </c>
      <c r="I580" s="12" t="str">
        <f>IF(B580="","",IF(B580='Loan Terms'!$H$9*12,G580,H580-J580))</f>
        <v/>
      </c>
      <c r="J580" s="130" t="str">
        <f>IF(B580="","",IF('Loan Terms'!$H$15="Actual/365",F580*(C580/365),F580*(C580/360))*G580)</f>
        <v/>
      </c>
      <c r="K580" s="12" t="str">
        <f t="shared" si="63"/>
        <v/>
      </c>
      <c r="L580" s="130" t="str">
        <f t="shared" si="67"/>
        <v/>
      </c>
      <c r="N580" s="14" t="str">
        <f t="shared" si="68"/>
        <v/>
      </c>
      <c r="S580" s="217" t="str">
        <f t="shared" si="64"/>
        <v/>
      </c>
      <c r="T580" s="218" t="str">
        <f t="shared" si="70"/>
        <v/>
      </c>
      <c r="U580" s="219" t="str">
        <f>IF(S580="","",'Loan Terms'!$H$14)</f>
        <v/>
      </c>
      <c r="V580" s="220" t="str">
        <f t="shared" si="69"/>
        <v/>
      </c>
    </row>
    <row r="581" spans="2:22" ht="14.25" customHeight="1" x14ac:dyDescent="0.2">
      <c r="B581" s="126" t="str">
        <f>IF(OR(B580="",B580='Loan Terms'!$H$9*12),"",B580+1)</f>
        <v/>
      </c>
      <c r="C581" s="128" t="str">
        <f>IF(B581="","",IF('Loan Terms'!$H$15="30/360",30,D581-D580))</f>
        <v/>
      </c>
      <c r="D581" s="129" t="str">
        <f t="shared" si="65"/>
        <v/>
      </c>
      <c r="E581" s="129" t="str">
        <f>IF(B581="","",IF(B581&lt;='Loan Terms'!$G$10,"Yes","No"))</f>
        <v/>
      </c>
      <c r="F581" s="101" t="str">
        <f>IF(B581="","",IF('Loan Terms'!$C$13="Fixed",'Loan Terms'!$H$17,V581))</f>
        <v/>
      </c>
      <c r="G581" s="12" t="str">
        <f t="shared" si="66"/>
        <v/>
      </c>
      <c r="H581" s="12" t="str">
        <f>IF(G581="","",IF('Loan Terms'!$C$13="Fixed",(E581="Yes")*J581+(E581="No")*'Loan Terms'!$H$19,PMT(F581/12,'Loan Terms'!$G$11-B581+1,-G581)))</f>
        <v/>
      </c>
      <c r="I581" s="12" t="str">
        <f>IF(B581="","",IF(B581='Loan Terms'!$H$9*12,G581,H581-J581))</f>
        <v/>
      </c>
      <c r="J581" s="130" t="str">
        <f>IF(B581="","",IF('Loan Terms'!$H$15="Actual/365",F581*(C581/365),F581*(C581/360))*G581)</f>
        <v/>
      </c>
      <c r="K581" s="12" t="str">
        <f t="shared" si="63"/>
        <v/>
      </c>
      <c r="L581" s="130" t="str">
        <f t="shared" si="67"/>
        <v/>
      </c>
      <c r="N581" s="14" t="str">
        <f t="shared" si="68"/>
        <v/>
      </c>
      <c r="S581" s="217" t="str">
        <f t="shared" si="64"/>
        <v/>
      </c>
      <c r="T581" s="218" t="str">
        <f t="shared" si="70"/>
        <v/>
      </c>
      <c r="U581" s="219" t="str">
        <f>IF(S581="","",'Loan Terms'!$H$14)</f>
        <v/>
      </c>
      <c r="V581" s="220" t="str">
        <f t="shared" si="69"/>
        <v/>
      </c>
    </row>
    <row r="582" spans="2:22" ht="14.25" customHeight="1" x14ac:dyDescent="0.2">
      <c r="B582" s="126" t="str">
        <f>IF(OR(B581="",B581='Loan Terms'!$H$9*12),"",B581+1)</f>
        <v/>
      </c>
      <c r="C582" s="128" t="str">
        <f>IF(B582="","",IF('Loan Terms'!$H$15="30/360",30,D582-D581))</f>
        <v/>
      </c>
      <c r="D582" s="129" t="str">
        <f t="shared" si="65"/>
        <v/>
      </c>
      <c r="E582" s="129" t="str">
        <f>IF(B582="","",IF(B582&lt;='Loan Terms'!$G$10,"Yes","No"))</f>
        <v/>
      </c>
      <c r="F582" s="101" t="str">
        <f>IF(B582="","",IF('Loan Terms'!$C$13="Fixed",'Loan Terms'!$H$17,V582))</f>
        <v/>
      </c>
      <c r="G582" s="12" t="str">
        <f t="shared" si="66"/>
        <v/>
      </c>
      <c r="H582" s="12" t="str">
        <f>IF(G582="","",IF('Loan Terms'!$C$13="Fixed",(E582="Yes")*J582+(E582="No")*'Loan Terms'!$H$19,PMT(F582/12,'Loan Terms'!$G$11-B582+1,-G582)))</f>
        <v/>
      </c>
      <c r="I582" s="12" t="str">
        <f>IF(B582="","",IF(B582='Loan Terms'!$H$9*12,G582,H582-J582))</f>
        <v/>
      </c>
      <c r="J582" s="130" t="str">
        <f>IF(B582="","",IF('Loan Terms'!$H$15="Actual/365",F582*(C582/365),F582*(C582/360))*G582)</f>
        <v/>
      </c>
      <c r="K582" s="12" t="str">
        <f t="shared" ref="K582:K605" si="71">IF(B582="","",G582-I582)</f>
        <v/>
      </c>
      <c r="L582" s="130" t="str">
        <f t="shared" si="67"/>
        <v/>
      </c>
      <c r="N582" s="14" t="str">
        <f t="shared" si="68"/>
        <v/>
      </c>
      <c r="S582" s="217" t="str">
        <f t="shared" ref="S582:S605" si="72">D582</f>
        <v/>
      </c>
      <c r="T582" s="218" t="str">
        <f t="shared" si="70"/>
        <v/>
      </c>
      <c r="U582" s="219" t="str">
        <f>IF(S582="","",'Loan Terms'!$H$14)</f>
        <v/>
      </c>
      <c r="V582" s="220" t="str">
        <f t="shared" si="69"/>
        <v/>
      </c>
    </row>
    <row r="583" spans="2:22" ht="14.25" customHeight="1" x14ac:dyDescent="0.2">
      <c r="B583" s="126" t="str">
        <f>IF(OR(B582="",B582='Loan Terms'!$H$9*12),"",B582+1)</f>
        <v/>
      </c>
      <c r="C583" s="128" t="str">
        <f>IF(B583="","",IF('Loan Terms'!$H$15="30/360",30,D583-D582))</f>
        <v/>
      </c>
      <c r="D583" s="129" t="str">
        <f t="shared" ref="D583:D605" si="73">IF(B583="","",EDATE(D582,1))</f>
        <v/>
      </c>
      <c r="E583" s="129" t="str">
        <f>IF(B583="","",IF(B583&lt;='Loan Terms'!$G$10,"Yes","No"))</f>
        <v/>
      </c>
      <c r="F583" s="101" t="str">
        <f>IF(B583="","",IF('Loan Terms'!$C$13="Fixed",'Loan Terms'!$H$17,V583))</f>
        <v/>
      </c>
      <c r="G583" s="12" t="str">
        <f t="shared" ref="G583:G605" si="74">IF(B583="","",K582)</f>
        <v/>
      </c>
      <c r="H583" s="12" t="str">
        <f>IF(G583="","",IF('Loan Terms'!$C$13="Fixed",(E583="Yes")*J583+(E583="No")*'Loan Terms'!$H$19,PMT(F583/12,'Loan Terms'!$G$11-B583+1,-G583)))</f>
        <v/>
      </c>
      <c r="I583" s="12" t="str">
        <f>IF(B583="","",IF(B583='Loan Terms'!$H$9*12,G583,H583-J583))</f>
        <v/>
      </c>
      <c r="J583" s="130" t="str">
        <f>IF(B583="","",IF('Loan Terms'!$H$15="Actual/365",F583*(C583/365),F583*(C583/360))*G583)</f>
        <v/>
      </c>
      <c r="K583" s="12" t="str">
        <f t="shared" si="71"/>
        <v/>
      </c>
      <c r="L583" s="130" t="str">
        <f t="shared" ref="L583:L605" si="75">IF(B583="","",J583+I583)</f>
        <v/>
      </c>
      <c r="N583" s="14" t="str">
        <f t="shared" ref="N583:N605" si="76">IF(B583="","",I583*B583)</f>
        <v/>
      </c>
      <c r="S583" s="217" t="str">
        <f t="shared" si="72"/>
        <v/>
      </c>
      <c r="T583" s="218" t="str">
        <f t="shared" si="70"/>
        <v/>
      </c>
      <c r="U583" s="219" t="str">
        <f>IF(S583="","",'Loan Terms'!$H$14)</f>
        <v/>
      </c>
      <c r="V583" s="220" t="str">
        <f t="shared" ref="V583:V605" si="77">IF(S583="","",T583+U583/10000)</f>
        <v/>
      </c>
    </row>
    <row r="584" spans="2:22" ht="14.25" customHeight="1" x14ac:dyDescent="0.2">
      <c r="B584" s="126" t="str">
        <f>IF(OR(B583="",B583='Loan Terms'!$H$9*12),"",B583+1)</f>
        <v/>
      </c>
      <c r="C584" s="128" t="str">
        <f>IF(B584="","",IF('Loan Terms'!$H$15="30/360",30,D584-D583))</f>
        <v/>
      </c>
      <c r="D584" s="129" t="str">
        <f t="shared" si="73"/>
        <v/>
      </c>
      <c r="E584" s="129" t="str">
        <f>IF(B584="","",IF(B584&lt;='Loan Terms'!$G$10,"Yes","No"))</f>
        <v/>
      </c>
      <c r="F584" s="101" t="str">
        <f>IF(B584="","",IF('Loan Terms'!$C$13="Fixed",'Loan Terms'!$H$17,V584))</f>
        <v/>
      </c>
      <c r="G584" s="12" t="str">
        <f t="shared" si="74"/>
        <v/>
      </c>
      <c r="H584" s="12" t="str">
        <f>IF(G584="","",IF('Loan Terms'!$C$13="Fixed",(E584="Yes")*J584+(E584="No")*'Loan Terms'!$H$19,PMT(F584/12,'Loan Terms'!$G$11-B584+1,-G584)))</f>
        <v/>
      </c>
      <c r="I584" s="12" t="str">
        <f>IF(B584="","",IF(B584='Loan Terms'!$H$9*12,G584,H584-J584))</f>
        <v/>
      </c>
      <c r="J584" s="130" t="str">
        <f>IF(B584="","",IF('Loan Terms'!$H$15="Actual/365",F584*(C584/365),F584*(C584/360))*G584)</f>
        <v/>
      </c>
      <c r="K584" s="12" t="str">
        <f t="shared" si="71"/>
        <v/>
      </c>
      <c r="L584" s="130" t="str">
        <f t="shared" si="75"/>
        <v/>
      </c>
      <c r="N584" s="14" t="str">
        <f t="shared" si="76"/>
        <v/>
      </c>
      <c r="S584" s="217" t="str">
        <f t="shared" si="72"/>
        <v/>
      </c>
      <c r="T584" s="218" t="str">
        <f t="shared" si="70"/>
        <v/>
      </c>
      <c r="U584" s="219" t="str">
        <f>IF(S584="","",'Loan Terms'!$H$14)</f>
        <v/>
      </c>
      <c r="V584" s="220" t="str">
        <f t="shared" si="77"/>
        <v/>
      </c>
    </row>
    <row r="585" spans="2:22" ht="14.25" customHeight="1" x14ac:dyDescent="0.2">
      <c r="B585" s="126" t="str">
        <f>IF(OR(B584="",B584='Loan Terms'!$H$9*12),"",B584+1)</f>
        <v/>
      </c>
      <c r="C585" s="128" t="str">
        <f>IF(B585="","",IF('Loan Terms'!$H$15="30/360",30,D585-D584))</f>
        <v/>
      </c>
      <c r="D585" s="129" t="str">
        <f t="shared" si="73"/>
        <v/>
      </c>
      <c r="E585" s="129" t="str">
        <f>IF(B585="","",IF(B585&lt;='Loan Terms'!$G$10,"Yes","No"))</f>
        <v/>
      </c>
      <c r="F585" s="101" t="str">
        <f>IF(B585="","",IF('Loan Terms'!$C$13="Fixed",'Loan Terms'!$H$17,V585))</f>
        <v/>
      </c>
      <c r="G585" s="12" t="str">
        <f t="shared" si="74"/>
        <v/>
      </c>
      <c r="H585" s="12" t="str">
        <f>IF(G585="","",IF('Loan Terms'!$C$13="Fixed",(E585="Yes")*J585+(E585="No")*'Loan Terms'!$H$19,PMT(F585/12,'Loan Terms'!$G$11-B585+1,-G585)))</f>
        <v/>
      </c>
      <c r="I585" s="12" t="str">
        <f>IF(B585="","",IF(B585='Loan Terms'!$H$9*12,G585,H585-J585))</f>
        <v/>
      </c>
      <c r="J585" s="130" t="str">
        <f>IF(B585="","",IF('Loan Terms'!$H$15="Actual/365",F585*(C585/365),F585*(C585/360))*G585)</f>
        <v/>
      </c>
      <c r="K585" s="12" t="str">
        <f t="shared" si="71"/>
        <v/>
      </c>
      <c r="L585" s="130" t="str">
        <f t="shared" si="75"/>
        <v/>
      </c>
      <c r="N585" s="14" t="str">
        <f t="shared" si="76"/>
        <v/>
      </c>
      <c r="S585" s="217" t="str">
        <f t="shared" si="72"/>
        <v/>
      </c>
      <c r="T585" s="218" t="str">
        <f t="shared" si="70"/>
        <v/>
      </c>
      <c r="U585" s="219" t="str">
        <f>IF(S585="","",'Loan Terms'!$H$14)</f>
        <v/>
      </c>
      <c r="V585" s="220" t="str">
        <f t="shared" si="77"/>
        <v/>
      </c>
    </row>
    <row r="586" spans="2:22" ht="14.25" customHeight="1" x14ac:dyDescent="0.2">
      <c r="B586" s="126" t="str">
        <f>IF(OR(B585="",B585='Loan Terms'!$H$9*12),"",B585+1)</f>
        <v/>
      </c>
      <c r="C586" s="128" t="str">
        <f>IF(B586="","",IF('Loan Terms'!$H$15="30/360",30,D586-D585))</f>
        <v/>
      </c>
      <c r="D586" s="129" t="str">
        <f t="shared" si="73"/>
        <v/>
      </c>
      <c r="E586" s="129" t="str">
        <f>IF(B586="","",IF(B586&lt;='Loan Terms'!$G$10,"Yes","No"))</f>
        <v/>
      </c>
      <c r="F586" s="101" t="str">
        <f>IF(B586="","",IF('Loan Terms'!$C$13="Fixed",'Loan Terms'!$H$17,V586))</f>
        <v/>
      </c>
      <c r="G586" s="12" t="str">
        <f t="shared" si="74"/>
        <v/>
      </c>
      <c r="H586" s="12" t="str">
        <f>IF(G586="","",IF('Loan Terms'!$C$13="Fixed",(E586="Yes")*J586+(E586="No")*'Loan Terms'!$H$19,PMT(F586/12,'Loan Terms'!$G$11-B586+1,-G586)))</f>
        <v/>
      </c>
      <c r="I586" s="12" t="str">
        <f>IF(B586="","",IF(B586='Loan Terms'!$H$9*12,G586,H586-J586))</f>
        <v/>
      </c>
      <c r="J586" s="130" t="str">
        <f>IF(B586="","",IF('Loan Terms'!$H$15="Actual/365",F586*(C586/365),F586*(C586/360))*G586)</f>
        <v/>
      </c>
      <c r="K586" s="12" t="str">
        <f t="shared" si="71"/>
        <v/>
      </c>
      <c r="L586" s="130" t="str">
        <f t="shared" si="75"/>
        <v/>
      </c>
      <c r="N586" s="14" t="str">
        <f t="shared" si="76"/>
        <v/>
      </c>
      <c r="S586" s="217" t="str">
        <f t="shared" si="72"/>
        <v/>
      </c>
      <c r="T586" s="218" t="str">
        <f t="shared" si="70"/>
        <v/>
      </c>
      <c r="U586" s="219" t="str">
        <f>IF(S586="","",'Loan Terms'!$H$14)</f>
        <v/>
      </c>
      <c r="V586" s="220" t="str">
        <f t="shared" si="77"/>
        <v/>
      </c>
    </row>
    <row r="587" spans="2:22" ht="14.25" customHeight="1" x14ac:dyDescent="0.2">
      <c r="B587" s="126" t="str">
        <f>IF(OR(B586="",B586='Loan Terms'!$H$9*12),"",B586+1)</f>
        <v/>
      </c>
      <c r="C587" s="128" t="str">
        <f>IF(B587="","",IF('Loan Terms'!$H$15="30/360",30,D587-D586))</f>
        <v/>
      </c>
      <c r="D587" s="129" t="str">
        <f t="shared" si="73"/>
        <v/>
      </c>
      <c r="E587" s="129" t="str">
        <f>IF(B587="","",IF(B587&lt;='Loan Terms'!$G$10,"Yes","No"))</f>
        <v/>
      </c>
      <c r="F587" s="101" t="str">
        <f>IF(B587="","",IF('Loan Terms'!$C$13="Fixed",'Loan Terms'!$H$17,V587))</f>
        <v/>
      </c>
      <c r="G587" s="12" t="str">
        <f t="shared" si="74"/>
        <v/>
      </c>
      <c r="H587" s="12" t="str">
        <f>IF(G587="","",IF('Loan Terms'!$C$13="Fixed",(E587="Yes")*J587+(E587="No")*'Loan Terms'!$H$19,PMT(F587/12,'Loan Terms'!$G$11-B587+1,-G587)))</f>
        <v/>
      </c>
      <c r="I587" s="12" t="str">
        <f>IF(B587="","",IF(B587='Loan Terms'!$H$9*12,G587,H587-J587))</f>
        <v/>
      </c>
      <c r="J587" s="130" t="str">
        <f>IF(B587="","",IF('Loan Terms'!$H$15="Actual/365",F587*(C587/365),F587*(C587/360))*G587)</f>
        <v/>
      </c>
      <c r="K587" s="12" t="str">
        <f t="shared" si="71"/>
        <v/>
      </c>
      <c r="L587" s="130" t="str">
        <f t="shared" si="75"/>
        <v/>
      </c>
      <c r="N587" s="14" t="str">
        <f t="shared" si="76"/>
        <v/>
      </c>
      <c r="S587" s="217" t="str">
        <f t="shared" si="72"/>
        <v/>
      </c>
      <c r="T587" s="218" t="str">
        <f t="shared" si="70"/>
        <v/>
      </c>
      <c r="U587" s="219" t="str">
        <f>IF(S587="","",'Loan Terms'!$H$14)</f>
        <v/>
      </c>
      <c r="V587" s="220" t="str">
        <f t="shared" si="77"/>
        <v/>
      </c>
    </row>
    <row r="588" spans="2:22" ht="14.25" customHeight="1" x14ac:dyDescent="0.2">
      <c r="B588" s="126" t="str">
        <f>IF(OR(B587="",B587='Loan Terms'!$H$9*12),"",B587+1)</f>
        <v/>
      </c>
      <c r="C588" s="128" t="str">
        <f>IF(B588="","",IF('Loan Terms'!$H$15="30/360",30,D588-D587))</f>
        <v/>
      </c>
      <c r="D588" s="129" t="str">
        <f t="shared" si="73"/>
        <v/>
      </c>
      <c r="E588" s="129" t="str">
        <f>IF(B588="","",IF(B588&lt;='Loan Terms'!$G$10,"Yes","No"))</f>
        <v/>
      </c>
      <c r="F588" s="101" t="str">
        <f>IF(B588="","",IF('Loan Terms'!$C$13="Fixed",'Loan Terms'!$H$17,V588))</f>
        <v/>
      </c>
      <c r="G588" s="12" t="str">
        <f t="shared" si="74"/>
        <v/>
      </c>
      <c r="H588" s="12" t="str">
        <f>IF(G588="","",IF('Loan Terms'!$C$13="Fixed",(E588="Yes")*J588+(E588="No")*'Loan Terms'!$H$19,PMT(F588/12,'Loan Terms'!$G$11-B588+1,-G588)))</f>
        <v/>
      </c>
      <c r="I588" s="12" t="str">
        <f>IF(B588="","",IF(B588='Loan Terms'!$H$9*12,G588,H588-J588))</f>
        <v/>
      </c>
      <c r="J588" s="130" t="str">
        <f>IF(B588="","",IF('Loan Terms'!$H$15="Actual/365",F588*(C588/365),F588*(C588/360))*G588)</f>
        <v/>
      </c>
      <c r="K588" s="12" t="str">
        <f t="shared" si="71"/>
        <v/>
      </c>
      <c r="L588" s="130" t="str">
        <f t="shared" si="75"/>
        <v/>
      </c>
      <c r="N588" s="14" t="str">
        <f t="shared" si="76"/>
        <v/>
      </c>
      <c r="S588" s="217" t="str">
        <f t="shared" si="72"/>
        <v/>
      </c>
      <c r="T588" s="218" t="str">
        <f t="shared" si="70"/>
        <v/>
      </c>
      <c r="U588" s="219" t="str">
        <f>IF(S588="","",'Loan Terms'!$H$14)</f>
        <v/>
      </c>
      <c r="V588" s="220" t="str">
        <f t="shared" si="77"/>
        <v/>
      </c>
    </row>
    <row r="589" spans="2:22" ht="14.25" customHeight="1" x14ac:dyDescent="0.2">
      <c r="B589" s="126" t="str">
        <f>IF(OR(B588="",B588='Loan Terms'!$H$9*12),"",B588+1)</f>
        <v/>
      </c>
      <c r="C589" s="128" t="str">
        <f>IF(B589="","",IF('Loan Terms'!$H$15="30/360",30,D589-D588))</f>
        <v/>
      </c>
      <c r="D589" s="129" t="str">
        <f t="shared" si="73"/>
        <v/>
      </c>
      <c r="E589" s="129" t="str">
        <f>IF(B589="","",IF(B589&lt;='Loan Terms'!$G$10,"Yes","No"))</f>
        <v/>
      </c>
      <c r="F589" s="101" t="str">
        <f>IF(B589="","",IF('Loan Terms'!$C$13="Fixed",'Loan Terms'!$H$17,V589))</f>
        <v/>
      </c>
      <c r="G589" s="12" t="str">
        <f t="shared" si="74"/>
        <v/>
      </c>
      <c r="H589" s="12" t="str">
        <f>IF(G589="","",IF('Loan Terms'!$C$13="Fixed",(E589="Yes")*J589+(E589="No")*'Loan Terms'!$H$19,PMT(F589/12,'Loan Terms'!$G$11-B589+1,-G589)))</f>
        <v/>
      </c>
      <c r="I589" s="12" t="str">
        <f>IF(B589="","",IF(B589='Loan Terms'!$H$9*12,G589,H589-J589))</f>
        <v/>
      </c>
      <c r="J589" s="130" t="str">
        <f>IF(B589="","",IF('Loan Terms'!$H$15="Actual/365",F589*(C589/365),F589*(C589/360))*G589)</f>
        <v/>
      </c>
      <c r="K589" s="12" t="str">
        <f t="shared" si="71"/>
        <v/>
      </c>
      <c r="L589" s="130" t="str">
        <f t="shared" si="75"/>
        <v/>
      </c>
      <c r="N589" s="14" t="str">
        <f t="shared" si="76"/>
        <v/>
      </c>
      <c r="S589" s="217" t="str">
        <f t="shared" si="72"/>
        <v/>
      </c>
      <c r="T589" s="218" t="str">
        <f t="shared" si="70"/>
        <v/>
      </c>
      <c r="U589" s="219" t="str">
        <f>IF(S589="","",'Loan Terms'!$H$14)</f>
        <v/>
      </c>
      <c r="V589" s="220" t="str">
        <f t="shared" si="77"/>
        <v/>
      </c>
    </row>
    <row r="590" spans="2:22" ht="14.25" customHeight="1" x14ac:dyDescent="0.2">
      <c r="B590" s="126" t="str">
        <f>IF(OR(B589="",B589='Loan Terms'!$H$9*12),"",B589+1)</f>
        <v/>
      </c>
      <c r="C590" s="128" t="str">
        <f>IF(B590="","",IF('Loan Terms'!$H$15="30/360",30,D590-D589))</f>
        <v/>
      </c>
      <c r="D590" s="129" t="str">
        <f t="shared" si="73"/>
        <v/>
      </c>
      <c r="E590" s="129" t="str">
        <f>IF(B590="","",IF(B590&lt;='Loan Terms'!$G$10,"Yes","No"))</f>
        <v/>
      </c>
      <c r="F590" s="101" t="str">
        <f>IF(B590="","",IF('Loan Terms'!$C$13="Fixed",'Loan Terms'!$H$17,V590))</f>
        <v/>
      </c>
      <c r="G590" s="12" t="str">
        <f t="shared" si="74"/>
        <v/>
      </c>
      <c r="H590" s="12" t="str">
        <f>IF(G590="","",IF('Loan Terms'!$C$13="Fixed",(E590="Yes")*J590+(E590="No")*'Loan Terms'!$H$19,PMT(F590/12,'Loan Terms'!$G$11-B590+1,-G590)))</f>
        <v/>
      </c>
      <c r="I590" s="12" t="str">
        <f>IF(B590="","",IF(B590='Loan Terms'!$H$9*12,G590,H590-J590))</f>
        <v/>
      </c>
      <c r="J590" s="130" t="str">
        <f>IF(B590="","",IF('Loan Terms'!$H$15="Actual/365",F590*(C590/365),F590*(C590/360))*G590)</f>
        <v/>
      </c>
      <c r="K590" s="12" t="str">
        <f t="shared" si="71"/>
        <v/>
      </c>
      <c r="L590" s="130" t="str">
        <f t="shared" si="75"/>
        <v/>
      </c>
      <c r="N590" s="14" t="str">
        <f t="shared" si="76"/>
        <v/>
      </c>
      <c r="S590" s="217" t="str">
        <f t="shared" si="72"/>
        <v/>
      </c>
      <c r="T590" s="218" t="str">
        <f t="shared" si="70"/>
        <v/>
      </c>
      <c r="U590" s="219" t="str">
        <f>IF(S590="","",'Loan Terms'!$H$14)</f>
        <v/>
      </c>
      <c r="V590" s="220" t="str">
        <f t="shared" si="77"/>
        <v/>
      </c>
    </row>
    <row r="591" spans="2:22" ht="14.25" customHeight="1" x14ac:dyDescent="0.2">
      <c r="B591" s="126" t="str">
        <f>IF(OR(B590="",B590='Loan Terms'!$H$9*12),"",B590+1)</f>
        <v/>
      </c>
      <c r="C591" s="128" t="str">
        <f>IF(B591="","",IF('Loan Terms'!$H$15="30/360",30,D591-D590))</f>
        <v/>
      </c>
      <c r="D591" s="129" t="str">
        <f t="shared" si="73"/>
        <v/>
      </c>
      <c r="E591" s="129" t="str">
        <f>IF(B591="","",IF(B591&lt;='Loan Terms'!$G$10,"Yes","No"))</f>
        <v/>
      </c>
      <c r="F591" s="101" t="str">
        <f>IF(B591="","",IF('Loan Terms'!$C$13="Fixed",'Loan Terms'!$H$17,V591))</f>
        <v/>
      </c>
      <c r="G591" s="12" t="str">
        <f t="shared" si="74"/>
        <v/>
      </c>
      <c r="H591" s="12" t="str">
        <f>IF(G591="","",IF('Loan Terms'!$C$13="Fixed",(E591="Yes")*J591+(E591="No")*'Loan Terms'!$H$19,PMT(F591/12,'Loan Terms'!$G$11-B591+1,-G591)))</f>
        <v/>
      </c>
      <c r="I591" s="12" t="str">
        <f>IF(B591="","",IF(B591='Loan Terms'!$H$9*12,G591,H591-J591))</f>
        <v/>
      </c>
      <c r="J591" s="130" t="str">
        <f>IF(B591="","",IF('Loan Terms'!$H$15="Actual/365",F591*(C591/365),F591*(C591/360))*G591)</f>
        <v/>
      </c>
      <c r="K591" s="12" t="str">
        <f t="shared" si="71"/>
        <v/>
      </c>
      <c r="L591" s="130" t="str">
        <f t="shared" si="75"/>
        <v/>
      </c>
      <c r="N591" s="14" t="str">
        <f t="shared" si="76"/>
        <v/>
      </c>
      <c r="S591" s="217" t="str">
        <f t="shared" si="72"/>
        <v/>
      </c>
      <c r="T591" s="218" t="str">
        <f t="shared" si="70"/>
        <v/>
      </c>
      <c r="U591" s="219" t="str">
        <f>IF(S591="","",'Loan Terms'!$H$14)</f>
        <v/>
      </c>
      <c r="V591" s="220" t="str">
        <f t="shared" si="77"/>
        <v/>
      </c>
    </row>
    <row r="592" spans="2:22" ht="14.25" customHeight="1" x14ac:dyDescent="0.2">
      <c r="B592" s="126" t="str">
        <f>IF(OR(B591="",B591='Loan Terms'!$H$9*12),"",B591+1)</f>
        <v/>
      </c>
      <c r="C592" s="128" t="str">
        <f>IF(B592="","",IF('Loan Terms'!$H$15="30/360",30,D592-D591))</f>
        <v/>
      </c>
      <c r="D592" s="129" t="str">
        <f t="shared" si="73"/>
        <v/>
      </c>
      <c r="E592" s="129" t="str">
        <f>IF(B592="","",IF(B592&lt;='Loan Terms'!$G$10,"Yes","No"))</f>
        <v/>
      </c>
      <c r="F592" s="101" t="str">
        <f>IF(B592="","",IF('Loan Terms'!$C$13="Fixed",'Loan Terms'!$H$17,V592))</f>
        <v/>
      </c>
      <c r="G592" s="12" t="str">
        <f t="shared" si="74"/>
        <v/>
      </c>
      <c r="H592" s="12" t="str">
        <f>IF(G592="","",IF('Loan Terms'!$C$13="Fixed",(E592="Yes")*J592+(E592="No")*'Loan Terms'!$H$19,PMT(F592/12,'Loan Terms'!$G$11-B592+1,-G592)))</f>
        <v/>
      </c>
      <c r="I592" s="12" t="str">
        <f>IF(B592="","",IF(B592='Loan Terms'!$H$9*12,G592,H592-J592))</f>
        <v/>
      </c>
      <c r="J592" s="130" t="str">
        <f>IF(B592="","",IF('Loan Terms'!$H$15="Actual/365",F592*(C592/365),F592*(C592/360))*G592)</f>
        <v/>
      </c>
      <c r="K592" s="12" t="str">
        <f t="shared" si="71"/>
        <v/>
      </c>
      <c r="L592" s="130" t="str">
        <f t="shared" si="75"/>
        <v/>
      </c>
      <c r="N592" s="14" t="str">
        <f t="shared" si="76"/>
        <v/>
      </c>
      <c r="S592" s="217" t="str">
        <f t="shared" si="72"/>
        <v/>
      </c>
      <c r="T592" s="218" t="str">
        <f t="shared" si="70"/>
        <v/>
      </c>
      <c r="U592" s="219" t="str">
        <f>IF(S592="","",'Loan Terms'!$H$14)</f>
        <v/>
      </c>
      <c r="V592" s="220" t="str">
        <f t="shared" si="77"/>
        <v/>
      </c>
    </row>
    <row r="593" spans="2:22" ht="14.25" customHeight="1" x14ac:dyDescent="0.2">
      <c r="B593" s="126" t="str">
        <f>IF(OR(B592="",B592='Loan Terms'!$H$9*12),"",B592+1)</f>
        <v/>
      </c>
      <c r="C593" s="128" t="str">
        <f>IF(B593="","",IF('Loan Terms'!$H$15="30/360",30,D593-D592))</f>
        <v/>
      </c>
      <c r="D593" s="129" t="str">
        <f t="shared" si="73"/>
        <v/>
      </c>
      <c r="E593" s="129" t="str">
        <f>IF(B593="","",IF(B593&lt;='Loan Terms'!$G$10,"Yes","No"))</f>
        <v/>
      </c>
      <c r="F593" s="101" t="str">
        <f>IF(B593="","",IF('Loan Terms'!$C$13="Fixed",'Loan Terms'!$H$17,V593))</f>
        <v/>
      </c>
      <c r="G593" s="12" t="str">
        <f t="shared" si="74"/>
        <v/>
      </c>
      <c r="H593" s="12" t="str">
        <f>IF(G593="","",IF('Loan Terms'!$C$13="Fixed",(E593="Yes")*J593+(E593="No")*'Loan Terms'!$H$19,PMT(F593/12,'Loan Terms'!$G$11-B593+1,-G593)))</f>
        <v/>
      </c>
      <c r="I593" s="12" t="str">
        <f>IF(B593="","",IF(B593='Loan Terms'!$H$9*12,G593,H593-J593))</f>
        <v/>
      </c>
      <c r="J593" s="130" t="str">
        <f>IF(B593="","",IF('Loan Terms'!$H$15="Actual/365",F593*(C593/365),F593*(C593/360))*G593)</f>
        <v/>
      </c>
      <c r="K593" s="12" t="str">
        <f t="shared" si="71"/>
        <v/>
      </c>
      <c r="L593" s="130" t="str">
        <f t="shared" si="75"/>
        <v/>
      </c>
      <c r="N593" s="14" t="str">
        <f t="shared" si="76"/>
        <v/>
      </c>
      <c r="S593" s="217" t="str">
        <f t="shared" si="72"/>
        <v/>
      </c>
      <c r="T593" s="218" t="str">
        <f t="shared" si="70"/>
        <v/>
      </c>
      <c r="U593" s="219" t="str">
        <f>IF(S593="","",'Loan Terms'!$H$14)</f>
        <v/>
      </c>
      <c r="V593" s="220" t="str">
        <f t="shared" si="77"/>
        <v/>
      </c>
    </row>
    <row r="594" spans="2:22" ht="14.25" customHeight="1" x14ac:dyDescent="0.2">
      <c r="B594" s="126" t="str">
        <f>IF(OR(B593="",B593='Loan Terms'!$H$9*12),"",B593+1)</f>
        <v/>
      </c>
      <c r="C594" s="128" t="str">
        <f>IF(B594="","",IF('Loan Terms'!$H$15="30/360",30,D594-D593))</f>
        <v/>
      </c>
      <c r="D594" s="129" t="str">
        <f t="shared" si="73"/>
        <v/>
      </c>
      <c r="E594" s="129" t="str">
        <f>IF(B594="","",IF(B594&lt;='Loan Terms'!$G$10,"Yes","No"))</f>
        <v/>
      </c>
      <c r="F594" s="101" t="str">
        <f>IF(B594="","",IF('Loan Terms'!$C$13="Fixed",'Loan Terms'!$H$17,V594))</f>
        <v/>
      </c>
      <c r="G594" s="12" t="str">
        <f t="shared" si="74"/>
        <v/>
      </c>
      <c r="H594" s="12" t="str">
        <f>IF(G594="","",IF('Loan Terms'!$C$13="Fixed",(E594="Yes")*J594+(E594="No")*'Loan Terms'!$H$19,PMT(F594/12,'Loan Terms'!$G$11-B594+1,-G594)))</f>
        <v/>
      </c>
      <c r="I594" s="12" t="str">
        <f>IF(B594="","",IF(B594='Loan Terms'!$H$9*12,G594,H594-J594))</f>
        <v/>
      </c>
      <c r="J594" s="130" t="str">
        <f>IF(B594="","",IF('Loan Terms'!$H$15="Actual/365",F594*(C594/365),F594*(C594/360))*G594)</f>
        <v/>
      </c>
      <c r="K594" s="12" t="str">
        <f t="shared" si="71"/>
        <v/>
      </c>
      <c r="L594" s="130" t="str">
        <f t="shared" si="75"/>
        <v/>
      </c>
      <c r="N594" s="14" t="str">
        <f t="shared" si="76"/>
        <v/>
      </c>
      <c r="S594" s="217" t="str">
        <f t="shared" si="72"/>
        <v/>
      </c>
      <c r="T594" s="218" t="str">
        <f t="shared" si="70"/>
        <v/>
      </c>
      <c r="U594" s="219" t="str">
        <f>IF(S594="","",'Loan Terms'!$H$14)</f>
        <v/>
      </c>
      <c r="V594" s="220" t="str">
        <f t="shared" si="77"/>
        <v/>
      </c>
    </row>
    <row r="595" spans="2:22" ht="14.25" customHeight="1" x14ac:dyDescent="0.2">
      <c r="B595" s="126" t="str">
        <f>IF(OR(B594="",B594='Loan Terms'!$H$9*12),"",B594+1)</f>
        <v/>
      </c>
      <c r="C595" s="128" t="str">
        <f>IF(B595="","",IF('Loan Terms'!$H$15="30/360",30,D595-D594))</f>
        <v/>
      </c>
      <c r="D595" s="129" t="str">
        <f t="shared" si="73"/>
        <v/>
      </c>
      <c r="E595" s="129" t="str">
        <f>IF(B595="","",IF(B595&lt;='Loan Terms'!$G$10,"Yes","No"))</f>
        <v/>
      </c>
      <c r="F595" s="101" t="str">
        <f>IF(B595="","",IF('Loan Terms'!$C$13="Fixed",'Loan Terms'!$H$17,V595))</f>
        <v/>
      </c>
      <c r="G595" s="12" t="str">
        <f t="shared" si="74"/>
        <v/>
      </c>
      <c r="H595" s="12" t="str">
        <f>IF(G595="","",IF('Loan Terms'!$C$13="Fixed",(E595="Yes")*J595+(E595="No")*'Loan Terms'!$H$19,PMT(F595/12,'Loan Terms'!$G$11-B595+1,-G595)))</f>
        <v/>
      </c>
      <c r="I595" s="12" t="str">
        <f>IF(B595="","",IF(B595='Loan Terms'!$H$9*12,G595,H595-J595))</f>
        <v/>
      </c>
      <c r="J595" s="130" t="str">
        <f>IF(B595="","",IF('Loan Terms'!$H$15="Actual/365",F595*(C595/365),F595*(C595/360))*G595)</f>
        <v/>
      </c>
      <c r="K595" s="12" t="str">
        <f t="shared" si="71"/>
        <v/>
      </c>
      <c r="L595" s="130" t="str">
        <f t="shared" si="75"/>
        <v/>
      </c>
      <c r="N595" s="14" t="str">
        <f t="shared" si="76"/>
        <v/>
      </c>
      <c r="S595" s="217" t="str">
        <f t="shared" si="72"/>
        <v/>
      </c>
      <c r="T595" s="218" t="str">
        <f t="shared" si="70"/>
        <v/>
      </c>
      <c r="U595" s="219" t="str">
        <f>IF(S595="","",'Loan Terms'!$H$14)</f>
        <v/>
      </c>
      <c r="V595" s="220" t="str">
        <f t="shared" si="77"/>
        <v/>
      </c>
    </row>
    <row r="596" spans="2:22" ht="14.25" customHeight="1" x14ac:dyDescent="0.2">
      <c r="B596" s="126" t="str">
        <f>IF(OR(B595="",B595='Loan Terms'!$H$9*12),"",B595+1)</f>
        <v/>
      </c>
      <c r="C596" s="128" t="str">
        <f>IF(B596="","",IF('Loan Terms'!$H$15="30/360",30,D596-D595))</f>
        <v/>
      </c>
      <c r="D596" s="129" t="str">
        <f t="shared" si="73"/>
        <v/>
      </c>
      <c r="E596" s="129" t="str">
        <f>IF(B596="","",IF(B596&lt;='Loan Terms'!$G$10,"Yes","No"))</f>
        <v/>
      </c>
      <c r="F596" s="101" t="str">
        <f>IF(B596="","",IF('Loan Terms'!$C$13="Fixed",'Loan Terms'!$H$17,V596))</f>
        <v/>
      </c>
      <c r="G596" s="12" t="str">
        <f t="shared" si="74"/>
        <v/>
      </c>
      <c r="H596" s="12" t="str">
        <f>IF(G596="","",IF('Loan Terms'!$C$13="Fixed",(E596="Yes")*J596+(E596="No")*'Loan Terms'!$H$19,PMT(F596/12,'Loan Terms'!$G$11-B596+1,-G596)))</f>
        <v/>
      </c>
      <c r="I596" s="12" t="str">
        <f>IF(B596="","",IF(B596='Loan Terms'!$H$9*12,G596,H596-J596))</f>
        <v/>
      </c>
      <c r="J596" s="130" t="str">
        <f>IF(B596="","",IF('Loan Terms'!$H$15="Actual/365",F596*(C596/365),F596*(C596/360))*G596)</f>
        <v/>
      </c>
      <c r="K596" s="12" t="str">
        <f t="shared" si="71"/>
        <v/>
      </c>
      <c r="L596" s="130" t="str">
        <f t="shared" si="75"/>
        <v/>
      </c>
      <c r="N596" s="14" t="str">
        <f t="shared" si="76"/>
        <v/>
      </c>
      <c r="S596" s="217" t="str">
        <f t="shared" si="72"/>
        <v/>
      </c>
      <c r="T596" s="218" t="str">
        <f t="shared" si="70"/>
        <v/>
      </c>
      <c r="U596" s="219" t="str">
        <f>IF(S596="","",'Loan Terms'!$H$14)</f>
        <v/>
      </c>
      <c r="V596" s="220" t="str">
        <f t="shared" si="77"/>
        <v/>
      </c>
    </row>
    <row r="597" spans="2:22" ht="14.25" customHeight="1" x14ac:dyDescent="0.2">
      <c r="B597" s="126" t="str">
        <f>IF(OR(B596="",B596='Loan Terms'!$H$9*12),"",B596+1)</f>
        <v/>
      </c>
      <c r="C597" s="128" t="str">
        <f>IF(B597="","",IF('Loan Terms'!$H$15="30/360",30,D597-D596))</f>
        <v/>
      </c>
      <c r="D597" s="129" t="str">
        <f t="shared" si="73"/>
        <v/>
      </c>
      <c r="E597" s="129" t="str">
        <f>IF(B597="","",IF(B597&lt;='Loan Terms'!$G$10,"Yes","No"))</f>
        <v/>
      </c>
      <c r="F597" s="101" t="str">
        <f>IF(B597="","",IF('Loan Terms'!$C$13="Fixed",'Loan Terms'!$H$17,V597))</f>
        <v/>
      </c>
      <c r="G597" s="12" t="str">
        <f t="shared" si="74"/>
        <v/>
      </c>
      <c r="H597" s="12" t="str">
        <f>IF(G597="","",IF('Loan Terms'!$C$13="Fixed",(E597="Yes")*J597+(E597="No")*'Loan Terms'!$H$19,PMT(F597/12,'Loan Terms'!$G$11-B597+1,-G597)))</f>
        <v/>
      </c>
      <c r="I597" s="12" t="str">
        <f>IF(B597="","",IF(B597='Loan Terms'!$H$9*12,G597,H597-J597))</f>
        <v/>
      </c>
      <c r="J597" s="130" t="str">
        <f>IF(B597="","",IF('Loan Terms'!$H$15="Actual/365",F597*(C597/365),F597*(C597/360))*G597)</f>
        <v/>
      </c>
      <c r="K597" s="12" t="str">
        <f t="shared" si="71"/>
        <v/>
      </c>
      <c r="L597" s="130" t="str">
        <f t="shared" si="75"/>
        <v/>
      </c>
      <c r="N597" s="14" t="str">
        <f t="shared" si="76"/>
        <v/>
      </c>
      <c r="S597" s="217" t="str">
        <f t="shared" si="72"/>
        <v/>
      </c>
      <c r="T597" s="218" t="str">
        <f t="shared" si="70"/>
        <v/>
      </c>
      <c r="U597" s="219" t="str">
        <f>IF(S597="","",'Loan Terms'!$H$14)</f>
        <v/>
      </c>
      <c r="V597" s="220" t="str">
        <f t="shared" si="77"/>
        <v/>
      </c>
    </row>
    <row r="598" spans="2:22" ht="14.25" customHeight="1" x14ac:dyDescent="0.2">
      <c r="B598" s="126" t="str">
        <f>IF(OR(B597="",B597='Loan Terms'!$H$9*12),"",B597+1)</f>
        <v/>
      </c>
      <c r="C598" s="128" t="str">
        <f>IF(B598="","",IF('Loan Terms'!$H$15="30/360",30,D598-D597))</f>
        <v/>
      </c>
      <c r="D598" s="129" t="str">
        <f t="shared" si="73"/>
        <v/>
      </c>
      <c r="E598" s="129" t="str">
        <f>IF(B598="","",IF(B598&lt;='Loan Terms'!$G$10,"Yes","No"))</f>
        <v/>
      </c>
      <c r="F598" s="101" t="str">
        <f>IF(B598="","",IF('Loan Terms'!$C$13="Fixed",'Loan Terms'!$H$17,V598))</f>
        <v/>
      </c>
      <c r="G598" s="12" t="str">
        <f t="shared" si="74"/>
        <v/>
      </c>
      <c r="H598" s="12" t="str">
        <f>IF(G598="","",IF('Loan Terms'!$C$13="Fixed",(E598="Yes")*J598+(E598="No")*'Loan Terms'!$H$19,PMT(F598/12,'Loan Terms'!$G$11-B598+1,-G598)))</f>
        <v/>
      </c>
      <c r="I598" s="12" t="str">
        <f>IF(B598="","",IF(B598='Loan Terms'!$H$9*12,G598,H598-J598))</f>
        <v/>
      </c>
      <c r="J598" s="130" t="str">
        <f>IF(B598="","",IF('Loan Terms'!$H$15="Actual/365",F598*(C598/365),F598*(C598/360))*G598)</f>
        <v/>
      </c>
      <c r="K598" s="12" t="str">
        <f t="shared" si="71"/>
        <v/>
      </c>
      <c r="L598" s="130" t="str">
        <f t="shared" si="75"/>
        <v/>
      </c>
      <c r="N598" s="14" t="str">
        <f t="shared" si="76"/>
        <v/>
      </c>
      <c r="S598" s="217" t="str">
        <f t="shared" si="72"/>
        <v/>
      </c>
      <c r="T598" s="218" t="str">
        <f t="shared" si="70"/>
        <v/>
      </c>
      <c r="U598" s="219" t="str">
        <f>IF(S598="","",'Loan Terms'!$H$14)</f>
        <v/>
      </c>
      <c r="V598" s="220" t="str">
        <f t="shared" si="77"/>
        <v/>
      </c>
    </row>
    <row r="599" spans="2:22" ht="14.25" customHeight="1" x14ac:dyDescent="0.2">
      <c r="B599" s="126" t="str">
        <f>IF(OR(B598="",B598='Loan Terms'!$H$9*12),"",B598+1)</f>
        <v/>
      </c>
      <c r="C599" s="128" t="str">
        <f>IF(B599="","",IF('Loan Terms'!$H$15="30/360",30,D599-D598))</f>
        <v/>
      </c>
      <c r="D599" s="129" t="str">
        <f t="shared" si="73"/>
        <v/>
      </c>
      <c r="E599" s="129" t="str">
        <f>IF(B599="","",IF(B599&lt;='Loan Terms'!$G$10,"Yes","No"))</f>
        <v/>
      </c>
      <c r="F599" s="101" t="str">
        <f>IF(B599="","",IF('Loan Terms'!$C$13="Fixed",'Loan Terms'!$H$17,V599))</f>
        <v/>
      </c>
      <c r="G599" s="12" t="str">
        <f t="shared" si="74"/>
        <v/>
      </c>
      <c r="H599" s="12" t="str">
        <f>IF(G599="","",IF('Loan Terms'!$C$13="Fixed",(E599="Yes")*J599+(E599="No")*'Loan Terms'!$H$19,PMT(F599/12,'Loan Terms'!$G$11-B599+1,-G599)))</f>
        <v/>
      </c>
      <c r="I599" s="12" t="str">
        <f>IF(B599="","",IF(B599='Loan Terms'!$H$9*12,G599,H599-J599))</f>
        <v/>
      </c>
      <c r="J599" s="130" t="str">
        <f>IF(B599="","",IF('Loan Terms'!$H$15="Actual/365",F599*(C599/365),F599*(C599/360))*G599)</f>
        <v/>
      </c>
      <c r="K599" s="12" t="str">
        <f t="shared" si="71"/>
        <v/>
      </c>
      <c r="L599" s="130" t="str">
        <f t="shared" si="75"/>
        <v/>
      </c>
      <c r="N599" s="14" t="str">
        <f t="shared" si="76"/>
        <v/>
      </c>
      <c r="S599" s="217" t="str">
        <f t="shared" si="72"/>
        <v/>
      </c>
      <c r="T599" s="218" t="str">
        <f t="shared" si="70"/>
        <v/>
      </c>
      <c r="U599" s="219" t="str">
        <f>IF(S599="","",'Loan Terms'!$H$14)</f>
        <v/>
      </c>
      <c r="V599" s="220" t="str">
        <f t="shared" si="77"/>
        <v/>
      </c>
    </row>
    <row r="600" spans="2:22" ht="14.25" customHeight="1" x14ac:dyDescent="0.2">
      <c r="B600" s="126" t="str">
        <f>IF(OR(B599="",B599='Loan Terms'!$H$9*12),"",B599+1)</f>
        <v/>
      </c>
      <c r="C600" s="128" t="str">
        <f>IF(B600="","",IF('Loan Terms'!$H$15="30/360",30,D600-D599))</f>
        <v/>
      </c>
      <c r="D600" s="129" t="str">
        <f t="shared" si="73"/>
        <v/>
      </c>
      <c r="E600" s="129" t="str">
        <f>IF(B600="","",IF(B600&lt;='Loan Terms'!$G$10,"Yes","No"))</f>
        <v/>
      </c>
      <c r="F600" s="101" t="str">
        <f>IF(B600="","",IF('Loan Terms'!$C$13="Fixed",'Loan Terms'!$H$17,V600))</f>
        <v/>
      </c>
      <c r="G600" s="12" t="str">
        <f t="shared" si="74"/>
        <v/>
      </c>
      <c r="H600" s="12" t="str">
        <f>IF(G600="","",IF('Loan Terms'!$C$13="Fixed",(E600="Yes")*J600+(E600="No")*'Loan Terms'!$H$19,PMT(F600/12,'Loan Terms'!$G$11-B600+1,-G600)))</f>
        <v/>
      </c>
      <c r="I600" s="12" t="str">
        <f>IF(B600="","",IF(B600='Loan Terms'!$H$9*12,G600,H600-J600))</f>
        <v/>
      </c>
      <c r="J600" s="130" t="str">
        <f>IF(B600="","",IF('Loan Terms'!$H$15="Actual/365",F600*(C600/365),F600*(C600/360))*G600)</f>
        <v/>
      </c>
      <c r="K600" s="12" t="str">
        <f t="shared" si="71"/>
        <v/>
      </c>
      <c r="L600" s="130" t="str">
        <f t="shared" si="75"/>
        <v/>
      </c>
      <c r="N600" s="14" t="str">
        <f t="shared" si="76"/>
        <v/>
      </c>
      <c r="S600" s="217" t="str">
        <f t="shared" si="72"/>
        <v/>
      </c>
      <c r="T600" s="218" t="str">
        <f t="shared" si="70"/>
        <v/>
      </c>
      <c r="U600" s="219" t="str">
        <f>IF(S600="","",'Loan Terms'!$H$14)</f>
        <v/>
      </c>
      <c r="V600" s="220" t="str">
        <f t="shared" si="77"/>
        <v/>
      </c>
    </row>
    <row r="601" spans="2:22" ht="14.25" customHeight="1" x14ac:dyDescent="0.2">
      <c r="B601" s="126" t="str">
        <f>IF(OR(B600="",B600='Loan Terms'!$H$9*12),"",B600+1)</f>
        <v/>
      </c>
      <c r="C601" s="128" t="str">
        <f>IF(B601="","",IF('Loan Terms'!$H$15="30/360",30,D601-D600))</f>
        <v/>
      </c>
      <c r="D601" s="129" t="str">
        <f t="shared" si="73"/>
        <v/>
      </c>
      <c r="E601" s="129" t="str">
        <f>IF(B601="","",IF(B601&lt;='Loan Terms'!$G$10,"Yes","No"))</f>
        <v/>
      </c>
      <c r="F601" s="101" t="str">
        <f>IF(B601="","",IF('Loan Terms'!$C$13="Fixed",'Loan Terms'!$H$17,V601))</f>
        <v/>
      </c>
      <c r="G601" s="12" t="str">
        <f t="shared" si="74"/>
        <v/>
      </c>
      <c r="H601" s="12" t="str">
        <f>IF(G601="","",IF('Loan Terms'!$C$13="Fixed",(E601="Yes")*J601+(E601="No")*'Loan Terms'!$H$19,PMT(F601/12,'Loan Terms'!$G$11-B601+1,-G601)))</f>
        <v/>
      </c>
      <c r="I601" s="12" t="str">
        <f>IF(B601="","",IF(B601='Loan Terms'!$H$9*12,G601,H601-J601))</f>
        <v/>
      </c>
      <c r="J601" s="130" t="str">
        <f>IF(B601="","",IF('Loan Terms'!$H$15="Actual/365",F601*(C601/365),F601*(C601/360))*G601)</f>
        <v/>
      </c>
      <c r="K601" s="12" t="str">
        <f t="shared" si="71"/>
        <v/>
      </c>
      <c r="L601" s="130" t="str">
        <f t="shared" si="75"/>
        <v/>
      </c>
      <c r="N601" s="14" t="str">
        <f t="shared" si="76"/>
        <v/>
      </c>
      <c r="S601" s="217" t="str">
        <f t="shared" si="72"/>
        <v/>
      </c>
      <c r="T601" s="218" t="str">
        <f t="shared" si="70"/>
        <v/>
      </c>
      <c r="U601" s="219" t="str">
        <f>IF(S601="","",'Loan Terms'!$H$14)</f>
        <v/>
      </c>
      <c r="V601" s="220" t="str">
        <f t="shared" si="77"/>
        <v/>
      </c>
    </row>
    <row r="602" spans="2:22" ht="14.25" customHeight="1" x14ac:dyDescent="0.2">
      <c r="B602" s="126" t="str">
        <f>IF(OR(B601="",B601='Loan Terms'!$H$9*12),"",B601+1)</f>
        <v/>
      </c>
      <c r="C602" s="128" t="str">
        <f>IF(B602="","",IF('Loan Terms'!$H$15="30/360",30,D602-D601))</f>
        <v/>
      </c>
      <c r="D602" s="129" t="str">
        <f t="shared" si="73"/>
        <v/>
      </c>
      <c r="E602" s="129" t="str">
        <f>IF(B602="","",IF(B602&lt;='Loan Terms'!$G$10,"Yes","No"))</f>
        <v/>
      </c>
      <c r="F602" s="101" t="str">
        <f>IF(B602="","",IF('Loan Terms'!$C$13="Fixed",'Loan Terms'!$H$17,V602))</f>
        <v/>
      </c>
      <c r="G602" s="12" t="str">
        <f t="shared" si="74"/>
        <v/>
      </c>
      <c r="H602" s="12" t="str">
        <f>IF(G602="","",IF('Loan Terms'!$C$13="Fixed",(E602="Yes")*J602+(E602="No")*'Loan Terms'!$H$19,PMT(F602/12,'Loan Terms'!$G$11-B602+1,-G602)))</f>
        <v/>
      </c>
      <c r="I602" s="12" t="str">
        <f>IF(B602="","",IF(B602='Loan Terms'!$H$9*12,G602,H602-J602))</f>
        <v/>
      </c>
      <c r="J602" s="130" t="str">
        <f>IF(B602="","",IF('Loan Terms'!$H$15="Actual/365",F602*(C602/365),F602*(C602/360))*G602)</f>
        <v/>
      </c>
      <c r="K602" s="12" t="str">
        <f t="shared" si="71"/>
        <v/>
      </c>
      <c r="L602" s="130" t="str">
        <f t="shared" si="75"/>
        <v/>
      </c>
      <c r="N602" s="14" t="str">
        <f t="shared" si="76"/>
        <v/>
      </c>
      <c r="S602" s="217" t="str">
        <f t="shared" si="72"/>
        <v/>
      </c>
      <c r="T602" s="218" t="str">
        <f t="shared" si="70"/>
        <v/>
      </c>
      <c r="U602" s="219" t="str">
        <f>IF(S602="","",'Loan Terms'!$H$14)</f>
        <v/>
      </c>
      <c r="V602" s="220" t="str">
        <f t="shared" si="77"/>
        <v/>
      </c>
    </row>
    <row r="603" spans="2:22" ht="14.25" customHeight="1" x14ac:dyDescent="0.2">
      <c r="B603" s="126" t="str">
        <f>IF(OR(B602="",B602='Loan Terms'!$H$9*12),"",B602+1)</f>
        <v/>
      </c>
      <c r="C603" s="128" t="str">
        <f>IF(B603="","",IF('Loan Terms'!$H$15="30/360",30,D603-D602))</f>
        <v/>
      </c>
      <c r="D603" s="129" t="str">
        <f t="shared" si="73"/>
        <v/>
      </c>
      <c r="E603" s="129" t="str">
        <f>IF(B603="","",IF(B603&lt;='Loan Terms'!$G$10,"Yes","No"))</f>
        <v/>
      </c>
      <c r="F603" s="101" t="str">
        <f>IF(B603="","",IF('Loan Terms'!$C$13="Fixed",'Loan Terms'!$H$17,V603))</f>
        <v/>
      </c>
      <c r="G603" s="12" t="str">
        <f t="shared" si="74"/>
        <v/>
      </c>
      <c r="H603" s="12" t="str">
        <f>IF(G603="","",IF('Loan Terms'!$C$13="Fixed",(E603="Yes")*J603+(E603="No")*'Loan Terms'!$H$19,PMT(F603/12,'Loan Terms'!$G$11-B603+1,-G603)))</f>
        <v/>
      </c>
      <c r="I603" s="12" t="str">
        <f>IF(B603="","",IF(B603='Loan Terms'!$H$9*12,G603,H603-J603))</f>
        <v/>
      </c>
      <c r="J603" s="130" t="str">
        <f>IF(B603="","",IF('Loan Terms'!$H$15="Actual/365",F603*(C603/365),F603*(C603/360))*G603)</f>
        <v/>
      </c>
      <c r="K603" s="12" t="str">
        <f t="shared" si="71"/>
        <v/>
      </c>
      <c r="L603" s="130" t="str">
        <f t="shared" si="75"/>
        <v/>
      </c>
      <c r="N603" s="14" t="str">
        <f t="shared" si="76"/>
        <v/>
      </c>
      <c r="S603" s="217" t="str">
        <f t="shared" si="72"/>
        <v/>
      </c>
      <c r="T603" s="218" t="str">
        <f t="shared" si="70"/>
        <v/>
      </c>
      <c r="U603" s="219" t="str">
        <f>IF(S603="","",'Loan Terms'!$H$14)</f>
        <v/>
      </c>
      <c r="V603" s="220" t="str">
        <f t="shared" si="77"/>
        <v/>
      </c>
    </row>
    <row r="604" spans="2:22" ht="14.25" customHeight="1" x14ac:dyDescent="0.2">
      <c r="B604" s="126" t="str">
        <f>IF(OR(B603="",B603='Loan Terms'!$H$9*12),"",B603+1)</f>
        <v/>
      </c>
      <c r="C604" s="128" t="str">
        <f>IF(B604="","",IF('Loan Terms'!$H$15="30/360",30,D604-D603))</f>
        <v/>
      </c>
      <c r="D604" s="129" t="str">
        <f t="shared" si="73"/>
        <v/>
      </c>
      <c r="E604" s="129" t="str">
        <f>IF(B604="","",IF(B604&lt;='Loan Terms'!$G$10,"Yes","No"))</f>
        <v/>
      </c>
      <c r="F604" s="101" t="str">
        <f>IF(B604="","",IF('Loan Terms'!$C$13="Fixed",'Loan Terms'!$H$17,V604))</f>
        <v/>
      </c>
      <c r="G604" s="12" t="str">
        <f t="shared" si="74"/>
        <v/>
      </c>
      <c r="H604" s="12" t="str">
        <f>IF(G604="","",IF('Loan Terms'!$C$13="Fixed",(E604="Yes")*J604+(E604="No")*'Loan Terms'!$H$19,PMT(F604/12,'Loan Terms'!$G$11-B604+1,-G604)))</f>
        <v/>
      </c>
      <c r="I604" s="12" t="str">
        <f>IF(B604="","",IF(B604='Loan Terms'!$H$9*12,G604,H604-J604))</f>
        <v/>
      </c>
      <c r="J604" s="130" t="str">
        <f>IF(B604="","",IF('Loan Terms'!$H$15="Actual/365",F604*(C604/365),F604*(C604/360))*G604)</f>
        <v/>
      </c>
      <c r="K604" s="12" t="str">
        <f t="shared" si="71"/>
        <v/>
      </c>
      <c r="L604" s="130" t="str">
        <f t="shared" si="75"/>
        <v/>
      </c>
      <c r="N604" s="14" t="str">
        <f t="shared" si="76"/>
        <v/>
      </c>
      <c r="S604" s="217" t="str">
        <f t="shared" si="72"/>
        <v/>
      </c>
      <c r="T604" s="218" t="str">
        <f t="shared" si="70"/>
        <v/>
      </c>
      <c r="U604" s="219" t="str">
        <f>IF(S604="","",'Loan Terms'!$H$14)</f>
        <v/>
      </c>
      <c r="V604" s="220" t="str">
        <f t="shared" si="77"/>
        <v/>
      </c>
    </row>
    <row r="605" spans="2:22" ht="14.25" customHeight="1" x14ac:dyDescent="0.2">
      <c r="B605" s="126" t="str">
        <f>IF(OR(B604="",B604='Loan Terms'!$H$9*12),"",B604+1)</f>
        <v/>
      </c>
      <c r="C605" s="128" t="str">
        <f>IF(B605="","",IF('Loan Terms'!$H$15="30/360",30,D605-D604))</f>
        <v/>
      </c>
      <c r="D605" s="129" t="str">
        <f t="shared" si="73"/>
        <v/>
      </c>
      <c r="E605" s="129" t="str">
        <f>IF(B605="","",IF(B605&lt;='Loan Terms'!$G$10,"Yes","No"))</f>
        <v/>
      </c>
      <c r="F605" s="101" t="str">
        <f>IF(B605="","",IF('Loan Terms'!$C$13="Fixed",'Loan Terms'!$H$17,V605))</f>
        <v/>
      </c>
      <c r="G605" s="12" t="str">
        <f t="shared" si="74"/>
        <v/>
      </c>
      <c r="H605" s="12" t="str">
        <f>IF(G605="","",IF('Loan Terms'!$C$13="Fixed",(E605="Yes")*J605+(E605="No")*'Loan Terms'!$H$19,PMT(F605/12,'Loan Terms'!$G$11-B605+1,-G605)))</f>
        <v/>
      </c>
      <c r="I605" s="12" t="str">
        <f>IF(B605="","",IF(B605='Loan Terms'!$H$9*12,G605,H605-J605))</f>
        <v/>
      </c>
      <c r="J605" s="130" t="str">
        <f>IF(B605="","",IF('Loan Terms'!$H$15="Actual/365",F605*(C605/365),F605*(C605/360))*G605)</f>
        <v/>
      </c>
      <c r="K605" s="12" t="str">
        <f t="shared" si="71"/>
        <v/>
      </c>
      <c r="L605" s="130" t="str">
        <f t="shared" si="75"/>
        <v/>
      </c>
      <c r="N605" s="14" t="str">
        <f t="shared" si="76"/>
        <v/>
      </c>
      <c r="S605" s="217" t="str">
        <f t="shared" si="72"/>
        <v/>
      </c>
      <c r="T605" s="218" t="str">
        <f t="shared" si="70"/>
        <v/>
      </c>
      <c r="U605" s="219" t="str">
        <f>IF(S605="","",'Loan Terms'!$H$14)</f>
        <v/>
      </c>
      <c r="V605" s="220" t="str">
        <f t="shared" si="77"/>
        <v/>
      </c>
    </row>
    <row r="606" spans="2:22" ht="5.0999999999999996" customHeight="1" x14ac:dyDescent="0.2">
      <c r="I606" s="14"/>
      <c r="J606" s="14"/>
      <c r="K606" s="14"/>
    </row>
  </sheetData>
  <printOptions horizontalCentered="1"/>
  <pageMargins left="0.7" right="0.7" top="0.75" bottom="0.75" header="0.3" footer="0.3"/>
  <pageSetup scale="82" fitToHeight="4" orientation="portrait" horizontalDpi="4294967294" r:id="rId1"/>
  <headerFooter>
    <oddFooter xml:space="preserve">&amp;C
PAGE &amp;P OF &amp;N - AMORTIZATION SCHEDULE&amp;R
</oddFooter>
  </headerFooter>
  <extLst>
    <ext xmlns:x14="http://schemas.microsoft.com/office/spreadsheetml/2009/9/main" uri="{78C0D931-6437-407d-A8EE-F0AAD7539E65}">
      <x14:conditionalFormattings>
        <x14:conditionalFormatting xmlns:xm="http://schemas.microsoft.com/office/excel/2006/main">
          <x14:cfRule type="expression" priority="1" id="{38244FD5-906F-4093-9F0C-4B27518669FF}">
            <xm:f>'Loan Terms'!$C$13="Fixed"</xm:f>
            <x14:dxf>
              <font>
                <color theme="0" tint="-0.14996795556505021"/>
              </font>
              <fill>
                <patternFill>
                  <bgColor theme="0" tint="-0.14996795556505021"/>
                </patternFill>
              </fill>
            </x14:dxf>
          </x14:cfRule>
          <xm:sqref>S1:W605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33A56-32B2-4DCA-9900-E3851E091DE1}">
  <sheetPr>
    <tabColor theme="0" tint="-0.249977111117893"/>
  </sheetPr>
  <dimension ref="A1:L36"/>
  <sheetViews>
    <sheetView zoomScale="85" zoomScaleNormal="85" workbookViewId="0"/>
  </sheetViews>
  <sheetFormatPr defaultColWidth="0" defaultRowHeight="16.5" zeroHeight="1" x14ac:dyDescent="0.3"/>
  <cols>
    <col min="1" max="1" width="0.875" customWidth="1"/>
    <col min="2" max="4" width="9" customWidth="1"/>
    <col min="5" max="5" width="18.5" style="67" bestFit="1" customWidth="1"/>
    <col min="6" max="6" width="16.25" style="67" bestFit="1" customWidth="1"/>
    <col min="7" max="7" width="2.375" customWidth="1"/>
    <col min="8" max="8" width="16.5" bestFit="1" customWidth="1"/>
    <col min="9" max="11" width="9" customWidth="1"/>
    <col min="12" max="12" width="0.875" customWidth="1"/>
    <col min="13" max="16384" width="9" hidden="1"/>
  </cols>
  <sheetData>
    <row r="1" spans="2:11" ht="5.0999999999999996" customHeight="1" x14ac:dyDescent="0.3"/>
    <row r="2" spans="2:11" s="3" customFormat="1" ht="18" x14ac:dyDescent="0.25">
      <c r="B2" s="21" t="s">
        <v>54</v>
      </c>
      <c r="C2" s="2"/>
      <c r="D2" s="4"/>
      <c r="E2" s="4"/>
      <c r="F2" s="4"/>
      <c r="G2" s="4"/>
      <c r="H2" s="4"/>
      <c r="I2" s="4"/>
      <c r="J2" s="4"/>
      <c r="K2" s="4"/>
    </row>
    <row r="3" spans="2:11" s="3" customFormat="1" ht="14.25" x14ac:dyDescent="0.2">
      <c r="B3" s="2" t="str">
        <f>UPPER(Inv_Name)</f>
        <v>[INVESTMENT NAME]</v>
      </c>
      <c r="C3" s="2"/>
      <c r="D3" s="4"/>
      <c r="E3" s="4"/>
      <c r="F3" s="4"/>
      <c r="G3" s="4"/>
      <c r="H3" s="4"/>
      <c r="I3" s="4"/>
      <c r="J3" s="4"/>
      <c r="K3" s="4" t="str">
        <f>Inv_Number</f>
        <v>[12345]</v>
      </c>
    </row>
    <row r="4" spans="2:11" x14ac:dyDescent="0.3">
      <c r="B4" s="63" t="s">
        <v>11</v>
      </c>
      <c r="C4" s="63"/>
      <c r="D4" s="63"/>
      <c r="E4" s="66" t="s">
        <v>64</v>
      </c>
      <c r="F4" s="66" t="s">
        <v>65</v>
      </c>
      <c r="G4" s="66"/>
      <c r="H4" s="70" t="s">
        <v>74</v>
      </c>
      <c r="I4" s="70"/>
      <c r="J4" s="66"/>
      <c r="K4" s="66"/>
    </row>
    <row r="5" spans="2:11" x14ac:dyDescent="0.3">
      <c r="B5" s="64" t="str">
        <f>'Loan Summary'!D9</f>
        <v>Apartment</v>
      </c>
      <c r="C5" s="64"/>
      <c r="D5" s="64"/>
      <c r="E5" s="68" t="str">
        <f>INDEX(E6:E31,MATCH(B5,B6:B31,0))</f>
        <v>Unit</v>
      </c>
      <c r="F5" s="68" t="str">
        <f>INDEX(F6:F31,MATCH(B5,B6:B31,0))</f>
        <v>Units</v>
      </c>
      <c r="H5" s="65" t="s">
        <v>75</v>
      </c>
    </row>
    <row r="6" spans="2:11" x14ac:dyDescent="0.3">
      <c r="B6" s="65" t="s">
        <v>12</v>
      </c>
      <c r="C6" s="65"/>
      <c r="D6" s="65"/>
      <c r="E6" s="69" t="s">
        <v>63</v>
      </c>
      <c r="F6" s="69" t="s">
        <v>66</v>
      </c>
      <c r="H6" s="65" t="s">
        <v>76</v>
      </c>
    </row>
    <row r="7" spans="2:11" x14ac:dyDescent="0.3">
      <c r="B7" s="65" t="s">
        <v>62</v>
      </c>
      <c r="C7" s="65"/>
      <c r="D7" s="65"/>
      <c r="E7" s="69" t="s">
        <v>70</v>
      </c>
      <c r="F7" s="69" t="s">
        <v>71</v>
      </c>
      <c r="H7" s="65"/>
    </row>
    <row r="8" spans="2:11" x14ac:dyDescent="0.3">
      <c r="B8" s="65" t="s">
        <v>56</v>
      </c>
      <c r="C8" s="65"/>
      <c r="D8" s="65"/>
      <c r="E8" s="69" t="s">
        <v>67</v>
      </c>
      <c r="F8" s="69" t="s">
        <v>67</v>
      </c>
      <c r="H8" s="65"/>
    </row>
    <row r="9" spans="2:11" x14ac:dyDescent="0.3">
      <c r="B9" s="65" t="s">
        <v>61</v>
      </c>
      <c r="C9" s="65"/>
      <c r="D9" s="65"/>
      <c r="E9" s="69" t="s">
        <v>63</v>
      </c>
      <c r="F9" s="69" t="s">
        <v>66</v>
      </c>
      <c r="H9" s="65"/>
    </row>
    <row r="10" spans="2:11" x14ac:dyDescent="0.3">
      <c r="B10" s="65" t="s">
        <v>161</v>
      </c>
      <c r="C10" s="65"/>
      <c r="D10" s="65"/>
      <c r="E10" s="69" t="s">
        <v>67</v>
      </c>
      <c r="F10" s="69" t="s">
        <v>67</v>
      </c>
      <c r="H10" s="65"/>
    </row>
    <row r="11" spans="2:11" x14ac:dyDescent="0.3">
      <c r="B11" s="65" t="s">
        <v>57</v>
      </c>
      <c r="C11" s="65"/>
      <c r="D11" s="65"/>
      <c r="E11" s="69" t="s">
        <v>67</v>
      </c>
      <c r="F11" s="69" t="s">
        <v>67</v>
      </c>
      <c r="H11" s="65"/>
    </row>
    <row r="12" spans="2:11" x14ac:dyDescent="0.3">
      <c r="B12" s="65" t="s">
        <v>55</v>
      </c>
      <c r="C12" s="65"/>
      <c r="D12" s="65"/>
      <c r="E12" s="69" t="s">
        <v>67</v>
      </c>
      <c r="F12" s="69" t="s">
        <v>67</v>
      </c>
      <c r="H12" s="65"/>
    </row>
    <row r="13" spans="2:11" x14ac:dyDescent="0.3">
      <c r="B13" s="65" t="s">
        <v>60</v>
      </c>
      <c r="C13" s="65"/>
      <c r="D13" s="65"/>
      <c r="E13" s="69" t="s">
        <v>63</v>
      </c>
      <c r="F13" s="69" t="s">
        <v>66</v>
      </c>
      <c r="H13" s="65"/>
    </row>
    <row r="14" spans="2:11" x14ac:dyDescent="0.3">
      <c r="B14" s="65" t="s">
        <v>58</v>
      </c>
      <c r="C14" s="65"/>
      <c r="D14" s="65"/>
      <c r="E14" s="69" t="s">
        <v>63</v>
      </c>
      <c r="F14" s="69" t="s">
        <v>66</v>
      </c>
      <c r="H14" s="65"/>
    </row>
    <row r="15" spans="2:11" x14ac:dyDescent="0.3">
      <c r="B15" s="65" t="s">
        <v>59</v>
      </c>
      <c r="C15" s="65"/>
      <c r="D15" s="65"/>
      <c r="E15" s="69" t="s">
        <v>68</v>
      </c>
      <c r="F15" s="69" t="s">
        <v>69</v>
      </c>
      <c r="H15" s="65"/>
    </row>
    <row r="16" spans="2:11" x14ac:dyDescent="0.3">
      <c r="B16" s="65" t="s">
        <v>161</v>
      </c>
      <c r="C16" s="65"/>
      <c r="D16" s="65"/>
      <c r="E16" s="69" t="s">
        <v>67</v>
      </c>
      <c r="F16" s="69" t="s">
        <v>67</v>
      </c>
      <c r="H16" s="65"/>
    </row>
    <row r="17" spans="2:8" x14ac:dyDescent="0.3">
      <c r="B17" s="65"/>
      <c r="C17" s="65"/>
      <c r="D17" s="65"/>
      <c r="E17" s="69"/>
      <c r="F17" s="69"/>
      <c r="H17" s="65"/>
    </row>
    <row r="18" spans="2:8" x14ac:dyDescent="0.3">
      <c r="B18" s="65"/>
      <c r="C18" s="65"/>
      <c r="D18" s="65"/>
      <c r="E18" s="69"/>
      <c r="F18" s="69"/>
      <c r="H18" s="65"/>
    </row>
    <row r="19" spans="2:8" x14ac:dyDescent="0.3">
      <c r="B19" s="65"/>
      <c r="C19" s="65"/>
      <c r="D19" s="65"/>
      <c r="E19" s="69"/>
      <c r="F19" s="69"/>
      <c r="H19" s="65"/>
    </row>
    <row r="20" spans="2:8" x14ac:dyDescent="0.3">
      <c r="B20" s="65"/>
      <c r="C20" s="65"/>
      <c r="D20" s="65"/>
      <c r="E20" s="69"/>
      <c r="F20" s="69"/>
      <c r="H20" s="65"/>
    </row>
    <row r="21" spans="2:8" x14ac:dyDescent="0.3">
      <c r="B21" s="65"/>
      <c r="C21" s="65"/>
      <c r="D21" s="65"/>
      <c r="E21" s="69"/>
      <c r="F21" s="69"/>
      <c r="H21" s="65"/>
    </row>
    <row r="22" spans="2:8" x14ac:dyDescent="0.3">
      <c r="B22" s="65"/>
      <c r="C22" s="65"/>
      <c r="D22" s="65"/>
      <c r="E22" s="69"/>
      <c r="F22" s="69"/>
      <c r="H22" s="65"/>
    </row>
    <row r="23" spans="2:8" x14ac:dyDescent="0.3">
      <c r="B23" s="65"/>
      <c r="C23" s="65"/>
      <c r="D23" s="65"/>
      <c r="E23" s="69"/>
      <c r="F23" s="69"/>
      <c r="H23" s="65"/>
    </row>
    <row r="24" spans="2:8" x14ac:dyDescent="0.3">
      <c r="B24" s="65"/>
      <c r="C24" s="65"/>
      <c r="D24" s="65"/>
      <c r="E24" s="69"/>
      <c r="F24" s="69"/>
      <c r="H24" s="65"/>
    </row>
    <row r="25" spans="2:8" x14ac:dyDescent="0.3">
      <c r="B25" s="65"/>
      <c r="C25" s="65"/>
      <c r="D25" s="65"/>
      <c r="E25" s="69"/>
      <c r="F25" s="69"/>
      <c r="H25" s="65"/>
    </row>
    <row r="26" spans="2:8" x14ac:dyDescent="0.3">
      <c r="B26" s="65"/>
      <c r="C26" s="65"/>
      <c r="D26" s="65"/>
      <c r="E26" s="69"/>
      <c r="F26" s="69"/>
      <c r="H26" s="65"/>
    </row>
    <row r="27" spans="2:8" x14ac:dyDescent="0.3">
      <c r="B27" s="65"/>
      <c r="C27" s="65"/>
      <c r="D27" s="65"/>
      <c r="E27" s="69"/>
      <c r="F27" s="69"/>
      <c r="H27" s="65"/>
    </row>
    <row r="28" spans="2:8" x14ac:dyDescent="0.3">
      <c r="B28" s="65"/>
      <c r="C28" s="65"/>
      <c r="D28" s="65"/>
      <c r="E28" s="69"/>
      <c r="F28" s="69"/>
      <c r="H28" s="65"/>
    </row>
    <row r="29" spans="2:8" x14ac:dyDescent="0.3">
      <c r="B29" s="65"/>
      <c r="C29" s="65"/>
      <c r="D29" s="65"/>
      <c r="E29" s="69"/>
      <c r="F29" s="69"/>
      <c r="H29" s="65"/>
    </row>
    <row r="30" spans="2:8" x14ac:dyDescent="0.3">
      <c r="B30" s="65"/>
      <c r="C30" s="65"/>
      <c r="D30" s="65"/>
      <c r="E30" s="69"/>
      <c r="F30" s="69"/>
      <c r="H30" s="65"/>
    </row>
    <row r="31" spans="2:8" x14ac:dyDescent="0.3">
      <c r="B31" s="65"/>
      <c r="C31" s="65"/>
      <c r="D31" s="65"/>
      <c r="E31" s="69"/>
      <c r="F31" s="69"/>
      <c r="H31" s="65"/>
    </row>
    <row r="32" spans="2:8" ht="5.0999999999999996" customHeight="1" x14ac:dyDescent="0.3">
      <c r="B32" s="65"/>
      <c r="C32" s="65"/>
      <c r="D32" s="65"/>
      <c r="E32" s="69"/>
    </row>
    <row r="33" spans="2:5" hidden="1" x14ac:dyDescent="0.3">
      <c r="B33" s="65"/>
      <c r="C33" s="65"/>
      <c r="D33" s="65"/>
      <c r="E33" s="69"/>
    </row>
    <row r="34" spans="2:5" hidden="1" x14ac:dyDescent="0.3">
      <c r="B34" s="65"/>
      <c r="C34" s="65"/>
      <c r="D34" s="65"/>
      <c r="E34" s="69"/>
    </row>
    <row r="35" spans="2:5" hidden="1" x14ac:dyDescent="0.3">
      <c r="B35" s="65"/>
      <c r="C35" s="65"/>
      <c r="D35" s="65"/>
      <c r="E35" s="69"/>
    </row>
    <row r="36" spans="2:5" hidden="1" x14ac:dyDescent="0.3">
      <c r="B36" s="65"/>
      <c r="C36" s="65"/>
      <c r="D36" s="65"/>
      <c r="E36" s="69"/>
    </row>
  </sheetData>
  <sortState xmlns:xlrd2="http://schemas.microsoft.com/office/spreadsheetml/2017/richdata2" ref="B6:B15">
    <sortCondition ref="B6"/>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Version</vt:lpstr>
      <vt:lpstr>Loan Summary</vt:lpstr>
      <vt:lpstr>Pro Forma</vt:lpstr>
      <vt:lpstr>Loan Terms</vt:lpstr>
      <vt:lpstr>Refinance Analysis</vt:lpstr>
      <vt:lpstr>Prepayment Analysis</vt:lpstr>
      <vt:lpstr>Amortization</vt:lpstr>
      <vt:lpstr>Data</vt:lpstr>
      <vt:lpstr>Inv_Name</vt:lpstr>
      <vt:lpstr>Inv_Number</vt:lpstr>
      <vt:lpstr>Amortization!NOI</vt:lpstr>
      <vt:lpstr>NOI</vt:lpstr>
      <vt:lpstr>Amortization!Print_Area</vt:lpstr>
      <vt:lpstr>'Loan Summary'!Print_Area</vt:lpstr>
      <vt:lpstr>'Loan Terms'!Print_Area</vt:lpstr>
      <vt:lpstr>'Pro Forma'!Print_Area</vt:lpstr>
      <vt:lpstr>'Refinance Analysis'!Print_Area</vt:lpstr>
      <vt:lpstr>Unit_Type_Plural</vt:lpstr>
      <vt:lpstr>Unit_Type_Singular</vt:lpstr>
      <vt:lpstr>Units_NRA</vt:lpstr>
      <vt:lpstr>Amortization!Value</vt:lpstr>
      <vt:lpstr>Value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2023-12-09T20:33:02Z</dcterms:modified>
</cp:coreProperties>
</file>