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sburt\Desktop\"/>
    </mc:Choice>
  </mc:AlternateContent>
  <xr:revisionPtr revIDLastSave="0" documentId="10_ncr:100000_{BF4DBD9F-D4E4-4C4C-B26F-748D83371B1B}" xr6:coauthVersionLast="31" xr6:coauthVersionMax="31" xr10:uidLastSave="{00000000-0000-0000-0000-000000000000}"/>
  <bookViews>
    <workbookView xWindow="0" yWindow="0" windowWidth="28800" windowHeight="11925" activeTab="1" xr2:uid="{00000000-000D-0000-FFFF-FFFF00000000}"/>
  </bookViews>
  <sheets>
    <sheet name="Model" sheetId="1" r:id="rId1"/>
    <sheet name="Waterfall" sheetId="9" r:id="rId2"/>
    <sheet name="AmortSched" sheetId="8" r:id="rId3"/>
  </sheets>
  <definedNames>
    <definedName name="solver_adj" localSheetId="1" hidden="1">Waterfall!$D$40</definedName>
    <definedName name="solver_cvg" localSheetId="1" hidden="1">0.0001</definedName>
    <definedName name="solver_drv" localSheetId="1" hidden="1">1</definedName>
    <definedName name="solver_eng" localSheetId="1" hidden="1">1</definedName>
    <definedName name="solver_est" localSheetId="1" hidden="1">1</definedName>
    <definedName name="solver_itr" localSheetId="1" hidden="1">2147483647</definedName>
    <definedName name="solver_lhs1" localSheetId="1" hidden="1">Waterfall!$L$67</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0</definedName>
    <definedName name="solver_nwt" localSheetId="1" hidden="1">1</definedName>
    <definedName name="solver_opt" localSheetId="1" hidden="1">Waterfall!$L$69</definedName>
    <definedName name="solver_pre" localSheetId="1" hidden="1">0.000001</definedName>
    <definedName name="solver_rbv" localSheetId="1" hidden="1">1</definedName>
    <definedName name="solver_rel1" localSheetId="1" hidden="1">2</definedName>
    <definedName name="solver_rhs1" localSheetId="1" hidden="1">1</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3</definedName>
    <definedName name="solver_val" localSheetId="1" hidden="1">0.08</definedName>
    <definedName name="solver_ver" localSheetId="1" hidden="1">3</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3" i="1" l="1"/>
  <c r="E13" i="8" l="1"/>
  <c r="R56" i="1"/>
  <c r="Q56" i="1"/>
  <c r="Z56" i="1"/>
  <c r="Y56" i="1"/>
  <c r="X56" i="1"/>
  <c r="W56" i="1"/>
  <c r="V56" i="1"/>
  <c r="U56" i="1"/>
  <c r="T56" i="1"/>
  <c r="S56" i="1"/>
  <c r="Z75" i="1" l="1"/>
  <c r="Y75" i="1"/>
  <c r="X75" i="1"/>
  <c r="W75" i="1"/>
  <c r="K69" i="9" l="1"/>
  <c r="E13" i="9"/>
  <c r="N16" i="9" s="1"/>
  <c r="D60" i="9" l="1"/>
  <c r="D59" i="9"/>
  <c r="D58" i="9"/>
  <c r="D54" i="9"/>
  <c r="D53" i="9"/>
  <c r="D52" i="9"/>
  <c r="D47" i="9" l="1"/>
  <c r="D46" i="9" l="1"/>
  <c r="D45" i="9"/>
  <c r="D34" i="9"/>
  <c r="D29" i="9"/>
  <c r="D39" i="9"/>
  <c r="D38" i="9"/>
  <c r="D37" i="9" l="1"/>
  <c r="K68" i="9" s="1"/>
  <c r="K67" i="9" l="1"/>
  <c r="D28" i="9"/>
  <c r="D22" i="9"/>
  <c r="D23" i="9" s="1"/>
  <c r="D30" i="9" l="1"/>
  <c r="P13" i="1" l="1"/>
  <c r="J18" i="9"/>
  <c r="J16" i="9"/>
  <c r="J17" i="9"/>
  <c r="J15" i="9"/>
  <c r="E16" i="9"/>
  <c r="J13" i="9"/>
  <c r="AA27" i="1" l="1"/>
  <c r="E17" i="1"/>
  <c r="N19" i="9" l="1"/>
  <c r="M16" i="9"/>
  <c r="Q44" i="1"/>
  <c r="AA54" i="1"/>
  <c r="Z54" i="1"/>
  <c r="Y54" i="1"/>
  <c r="X54" i="1"/>
  <c r="W54" i="1"/>
  <c r="V54" i="1"/>
  <c r="U54" i="1"/>
  <c r="T54" i="1"/>
  <c r="S54" i="1"/>
  <c r="R54" i="1"/>
  <c r="Q54" i="1"/>
  <c r="AA53" i="1"/>
  <c r="Z53" i="1"/>
  <c r="Y53" i="1"/>
  <c r="X53" i="1"/>
  <c r="W53" i="1"/>
  <c r="V53" i="1"/>
  <c r="U53" i="1"/>
  <c r="T53" i="1"/>
  <c r="S53" i="1"/>
  <c r="R53" i="1"/>
  <c r="Q53" i="1"/>
  <c r="AA46" i="1"/>
  <c r="Z46" i="1"/>
  <c r="Y46" i="1"/>
  <c r="X46" i="1"/>
  <c r="W46" i="1"/>
  <c r="V46" i="1"/>
  <c r="U46" i="1"/>
  <c r="T46" i="1"/>
  <c r="S46" i="1"/>
  <c r="R46" i="1"/>
  <c r="Q46" i="1"/>
  <c r="N55" i="1"/>
  <c r="N44" i="1"/>
  <c r="N48" i="1"/>
  <c r="N49" i="1"/>
  <c r="N50" i="1"/>
  <c r="AA25" i="1"/>
  <c r="Q20" i="1"/>
  <c r="R20" i="1" s="1"/>
  <c r="S20" i="1" s="1"/>
  <c r="T20" i="1" s="1"/>
  <c r="U20" i="1" s="1"/>
  <c r="V20" i="1" s="1"/>
  <c r="W20" i="1" s="1"/>
  <c r="X20" i="1" s="1"/>
  <c r="Y20" i="1" s="1"/>
  <c r="Z20" i="1" s="1"/>
  <c r="AA20" i="1" s="1"/>
  <c r="E43" i="1"/>
  <c r="E44" i="1" s="1"/>
  <c r="Q50" i="1"/>
  <c r="P42" i="1"/>
  <c r="Q25" i="1"/>
  <c r="R25" i="1" s="1"/>
  <c r="S25" i="1" l="1"/>
  <c r="T25" i="1" s="1"/>
  <c r="U25" i="1" s="1"/>
  <c r="V25" i="1" s="1"/>
  <c r="W25" i="1" s="1"/>
  <c r="X25" i="1" s="1"/>
  <c r="Y25" i="1" s="1"/>
  <c r="Z25" i="1" s="1"/>
  <c r="R44" i="1"/>
  <c r="R50" i="1"/>
  <c r="S50" i="1" s="1"/>
  <c r="T50" i="1" s="1"/>
  <c r="U50" i="1" s="1"/>
  <c r="V50" i="1" s="1"/>
  <c r="W50" i="1" s="1"/>
  <c r="X50" i="1" s="1"/>
  <c r="Y50" i="1" s="1"/>
  <c r="Z50" i="1" s="1"/>
  <c r="AA50" i="1" s="1"/>
  <c r="R55" i="1"/>
  <c r="Q14" i="1"/>
  <c r="Q15" i="1" s="1"/>
  <c r="S44" i="1" l="1"/>
  <c r="R14" i="1"/>
  <c r="T44" i="1" l="1"/>
  <c r="R15" i="1"/>
  <c r="R17" i="1" s="1"/>
  <c r="S14" i="1"/>
  <c r="R21" i="1"/>
  <c r="U44" i="1" l="1"/>
  <c r="S15" i="1"/>
  <c r="S17" i="1" s="1"/>
  <c r="T14" i="1"/>
  <c r="T15" i="1" s="1"/>
  <c r="V44" i="1" l="1"/>
  <c r="U14" i="1"/>
  <c r="U15" i="1" s="1"/>
  <c r="W44" i="1" l="1"/>
  <c r="V14" i="1"/>
  <c r="V15" i="1" s="1"/>
  <c r="X44" i="1" l="1"/>
  <c r="W14" i="1"/>
  <c r="Y44" i="1" l="1"/>
  <c r="W15" i="1"/>
  <c r="W17" i="1" s="1"/>
  <c r="X14" i="1"/>
  <c r="Z44" i="1" l="1"/>
  <c r="X15" i="1"/>
  <c r="X17" i="1" s="1"/>
  <c r="Y14" i="1"/>
  <c r="AA44" i="1" l="1"/>
  <c r="Y15" i="1"/>
  <c r="Y17" i="1" s="1"/>
  <c r="Z14" i="1"/>
  <c r="Z15" i="1" l="1"/>
  <c r="Z17" i="1" s="1"/>
  <c r="AA14" i="1"/>
  <c r="AA15" i="1" l="1"/>
  <c r="AA17" i="1" s="1"/>
  <c r="P56" i="1" l="1"/>
  <c r="Y63" i="1"/>
  <c r="C25" i="8"/>
  <c r="C37" i="8" s="1"/>
  <c r="C49" i="8" s="1"/>
  <c r="C61" i="8" s="1"/>
  <c r="C73" i="8" s="1"/>
  <c r="C85" i="8" s="1"/>
  <c r="C97" i="8" s="1"/>
  <c r="C109" i="8" s="1"/>
  <c r="C121" i="8" s="1"/>
  <c r="Z26" i="1"/>
  <c r="Y26" i="1"/>
  <c r="X26" i="1"/>
  <c r="W26" i="1"/>
  <c r="V26" i="1"/>
  <c r="U26" i="1"/>
  <c r="T26" i="1"/>
  <c r="S26" i="1"/>
  <c r="R26" i="1"/>
  <c r="AA51" i="1"/>
  <c r="AA45" i="1"/>
  <c r="AA47" i="1" s="1"/>
  <c r="Z55" i="1"/>
  <c r="Y55" i="1"/>
  <c r="Z51" i="1"/>
  <c r="Z45" i="1"/>
  <c r="Z47" i="1" s="1"/>
  <c r="R51" i="1"/>
  <c r="P26" i="1"/>
  <c r="AA26" i="1"/>
  <c r="AA21" i="1"/>
  <c r="Z21" i="1"/>
  <c r="Q26" i="1"/>
  <c r="Y61" i="1"/>
  <c r="W18" i="9" l="1"/>
  <c r="Q17" i="1"/>
  <c r="R45" i="1"/>
  <c r="R47" i="1" s="1"/>
  <c r="T51" i="1"/>
  <c r="S21" i="1" l="1"/>
  <c r="S51" i="1"/>
  <c r="U51" i="1"/>
  <c r="T17" i="1"/>
  <c r="T21" i="1" l="1"/>
  <c r="S45" i="1"/>
  <c r="S47" i="1" s="1"/>
  <c r="U17" i="1"/>
  <c r="U21" i="1" l="1"/>
  <c r="V51" i="1"/>
  <c r="T45" i="1"/>
  <c r="T47" i="1" s="1"/>
  <c r="V17" i="1"/>
  <c r="V21" i="1" l="1"/>
  <c r="W51" i="1"/>
  <c r="U45" i="1"/>
  <c r="U47" i="1" s="1"/>
  <c r="Y51" i="1" l="1"/>
  <c r="X51" i="1"/>
  <c r="W21" i="1"/>
  <c r="X21" i="1" l="1"/>
  <c r="X45" i="1" l="1"/>
  <c r="X47" i="1" s="1"/>
  <c r="Y21" i="1"/>
  <c r="Y45" i="1" l="1"/>
  <c r="Y47" i="1" s="1"/>
  <c r="Y64" i="1"/>
  <c r="Y62" i="1"/>
  <c r="Y31" i="1"/>
  <c r="Y30" i="1"/>
  <c r="Y29" i="1"/>
  <c r="AF40" i="1"/>
  <c r="AF41" i="1" s="1"/>
  <c r="AF42" i="1" s="1"/>
  <c r="AF43" i="1" s="1"/>
  <c r="AF44" i="1" s="1"/>
  <c r="AF38" i="1"/>
  <c r="AF37" i="1" s="1"/>
  <c r="AF36" i="1" s="1"/>
  <c r="AF35" i="1" s="1"/>
  <c r="AF34" i="1" s="1"/>
  <c r="AM33" i="1"/>
  <c r="AN33" i="1" s="1"/>
  <c r="AO33" i="1" s="1"/>
  <c r="AP33" i="1" s="1"/>
  <c r="AQ33" i="1" s="1"/>
  <c r="AK33" i="1"/>
  <c r="AJ33" i="1" s="1"/>
  <c r="AI33" i="1" s="1"/>
  <c r="AH33" i="1" s="1"/>
  <c r="AG33" i="1" s="1"/>
  <c r="AM19" i="1"/>
  <c r="AN19" i="1" s="1"/>
  <c r="AO19" i="1" s="1"/>
  <c r="AP19" i="1" s="1"/>
  <c r="AQ19" i="1" s="1"/>
  <c r="AK19" i="1"/>
  <c r="AJ19" i="1" s="1"/>
  <c r="AI19" i="1" s="1"/>
  <c r="AH19" i="1" s="1"/>
  <c r="AG19" i="1" s="1"/>
  <c r="AF26" i="1"/>
  <c r="AF27" i="1" s="1"/>
  <c r="AF28" i="1" s="1"/>
  <c r="AF29" i="1" s="1"/>
  <c r="AF30" i="1" s="1"/>
  <c r="AF24" i="1"/>
  <c r="AF23" i="1" s="1"/>
  <c r="AF22" i="1" s="1"/>
  <c r="AF21" i="1" s="1"/>
  <c r="AF20" i="1" s="1"/>
  <c r="P33" i="1" l="1"/>
  <c r="Q18" i="1"/>
  <c r="R18" i="1" s="1"/>
  <c r="S18" i="1" s="1"/>
  <c r="T18" i="1" s="1"/>
  <c r="U18" i="1" s="1"/>
  <c r="V18" i="1" s="1"/>
  <c r="W18" i="1" s="1"/>
  <c r="X18" i="1" s="1"/>
  <c r="Y18" i="1" s="1"/>
  <c r="Z18" i="1" s="1"/>
  <c r="AA18" i="1" l="1"/>
  <c r="G13" i="8"/>
  <c r="Q48" i="1"/>
  <c r="R48" i="1" s="1"/>
  <c r="S48" i="1" s="1"/>
  <c r="Q21" i="1"/>
  <c r="T48" i="1" l="1"/>
  <c r="U48" i="1" s="1"/>
  <c r="V48" i="1" s="1"/>
  <c r="W48" i="1" s="1"/>
  <c r="X48" i="1" s="1"/>
  <c r="Y48" i="1" s="1"/>
  <c r="Z48" i="1" s="1"/>
  <c r="AA48" i="1" s="1"/>
  <c r="F13" i="8"/>
  <c r="Q58" i="1" s="1"/>
  <c r="Q55" i="1"/>
  <c r="Q45" i="1"/>
  <c r="Q47" i="1" s="1"/>
  <c r="V45" i="1" l="1"/>
  <c r="V47" i="1" s="1"/>
  <c r="H13" i="8"/>
  <c r="I13" i="8" s="1"/>
  <c r="E14" i="8" s="1"/>
  <c r="S55" i="1"/>
  <c r="F14" i="8" l="1"/>
  <c r="W45" i="1"/>
  <c r="W47" i="1" s="1"/>
  <c r="T55" i="1"/>
  <c r="P43" i="1"/>
  <c r="Q49" i="1"/>
  <c r="R49" i="1" s="1"/>
  <c r="S49" i="1" s="1"/>
  <c r="Q19" i="1"/>
  <c r="R19" i="1" s="1"/>
  <c r="S19" i="1" s="1"/>
  <c r="T19" i="1" s="1"/>
  <c r="U19" i="1" s="1"/>
  <c r="V19" i="1" s="1"/>
  <c r="W19" i="1" s="1"/>
  <c r="X19" i="1" s="1"/>
  <c r="Y19" i="1" s="1"/>
  <c r="Z19" i="1" s="1"/>
  <c r="G14" i="8" l="1"/>
  <c r="H14" i="8" s="1"/>
  <c r="I14" i="8" s="1"/>
  <c r="E15" i="8" s="1"/>
  <c r="T49" i="1"/>
  <c r="U49" i="1" s="1"/>
  <c r="V49" i="1" s="1"/>
  <c r="W49" i="1" s="1"/>
  <c r="X49" i="1" s="1"/>
  <c r="Y49" i="1" s="1"/>
  <c r="Z49" i="1" s="1"/>
  <c r="Z52" i="1" s="1"/>
  <c r="S52" i="1"/>
  <c r="AA19" i="1"/>
  <c r="AA22" i="1" s="1"/>
  <c r="Z22" i="1"/>
  <c r="Z27" i="1" s="1"/>
  <c r="U55" i="1"/>
  <c r="R52" i="1"/>
  <c r="P66" i="1"/>
  <c r="E14" i="9" s="1"/>
  <c r="R22" i="1"/>
  <c r="Q51" i="1"/>
  <c r="Q22" i="1"/>
  <c r="G15" i="8" l="1"/>
  <c r="R57" i="1"/>
  <c r="S57" i="1"/>
  <c r="Z57" i="1"/>
  <c r="AA49" i="1"/>
  <c r="AA52" i="1" s="1"/>
  <c r="Z38" i="1"/>
  <c r="R27" i="1"/>
  <c r="R38" i="1" s="1"/>
  <c r="N13" i="9"/>
  <c r="N21" i="9" s="1"/>
  <c r="N26" i="9" s="1"/>
  <c r="Q27" i="1"/>
  <c r="Q38" i="1" s="1"/>
  <c r="Q61" i="1"/>
  <c r="V55" i="1"/>
  <c r="S22" i="1"/>
  <c r="Q52" i="1"/>
  <c r="F15" i="8" l="1"/>
  <c r="H15" i="8" s="1"/>
  <c r="I15" i="8" s="1"/>
  <c r="E16" i="8" s="1"/>
  <c r="N41" i="9"/>
  <c r="N157" i="9" s="1"/>
  <c r="N165" i="9" s="1"/>
  <c r="N167" i="9" s="1"/>
  <c r="O18" i="9"/>
  <c r="R29" i="1"/>
  <c r="S27" i="1"/>
  <c r="S38" i="1" s="1"/>
  <c r="Q57" i="1"/>
  <c r="Q73" i="1" s="1"/>
  <c r="R61" i="1"/>
  <c r="R30" i="1"/>
  <c r="R31" i="1" s="1"/>
  <c r="X55" i="1"/>
  <c r="W55" i="1"/>
  <c r="T52" i="1"/>
  <c r="T22" i="1"/>
  <c r="E36" i="1"/>
  <c r="G16" i="8" l="1"/>
  <c r="T57" i="1"/>
  <c r="N46" i="9"/>
  <c r="O41" i="9" s="1"/>
  <c r="O42" i="9" s="1"/>
  <c r="N114" i="9"/>
  <c r="N121" i="9" s="1"/>
  <c r="E20" i="9"/>
  <c r="E22" i="9"/>
  <c r="E21" i="9"/>
  <c r="P18" i="9"/>
  <c r="T27" i="1"/>
  <c r="T38" i="1" s="1"/>
  <c r="Q59" i="1"/>
  <c r="R62" i="1"/>
  <c r="S61" i="1"/>
  <c r="U52" i="1"/>
  <c r="U22" i="1"/>
  <c r="R33" i="1"/>
  <c r="Q29" i="1"/>
  <c r="F16" i="8" l="1"/>
  <c r="H16" i="8" s="1"/>
  <c r="I16" i="8" s="1"/>
  <c r="E17" i="8" s="1"/>
  <c r="U57" i="1"/>
  <c r="Q71" i="1"/>
  <c r="O114" i="9"/>
  <c r="O115" i="9" s="1"/>
  <c r="N123" i="9"/>
  <c r="N129" i="9" s="1"/>
  <c r="N48" i="9"/>
  <c r="N29" i="9"/>
  <c r="N142" i="9" s="1"/>
  <c r="N150" i="9" s="1"/>
  <c r="N152" i="9" s="1"/>
  <c r="E23" i="9"/>
  <c r="Q18" i="9"/>
  <c r="U27" i="1"/>
  <c r="U38" i="1" s="1"/>
  <c r="T61" i="1"/>
  <c r="V22" i="1"/>
  <c r="V52" i="1"/>
  <c r="Q62" i="1"/>
  <c r="Q30" i="1"/>
  <c r="Q31" i="1" s="1"/>
  <c r="Q33" i="1" s="1"/>
  <c r="F17" i="8" l="1"/>
  <c r="V57" i="1"/>
  <c r="AF46" i="9"/>
  <c r="N153" i="9"/>
  <c r="N171" i="9" s="1"/>
  <c r="AF52" i="9" s="1"/>
  <c r="N154" i="9"/>
  <c r="N172" i="9" s="1"/>
  <c r="AF53" i="9" s="1"/>
  <c r="N100" i="9"/>
  <c r="N107" i="9" s="1"/>
  <c r="N109" i="9" s="1"/>
  <c r="N111" i="9" s="1"/>
  <c r="N128" i="9" s="1"/>
  <c r="N54" i="9"/>
  <c r="N34" i="9"/>
  <c r="R18" i="9"/>
  <c r="V27" i="1"/>
  <c r="V38" i="1" s="1"/>
  <c r="W22" i="1"/>
  <c r="W27" i="1" s="1"/>
  <c r="W52" i="1"/>
  <c r="S29" i="1"/>
  <c r="S62" i="1"/>
  <c r="G17" i="8" l="1"/>
  <c r="H17" i="8" s="1"/>
  <c r="I17" i="8" s="1"/>
  <c r="E18" i="8" s="1"/>
  <c r="W57" i="1"/>
  <c r="S30" i="1"/>
  <c r="S31" i="1" s="1"/>
  <c r="S33" i="1" s="1"/>
  <c r="AF45" i="9"/>
  <c r="N65" i="9"/>
  <c r="AF30" i="9"/>
  <c r="N110" i="9"/>
  <c r="N127" i="9" s="1"/>
  <c r="N126" i="9"/>
  <c r="O29" i="9"/>
  <c r="O30" i="9" s="1"/>
  <c r="N36" i="9"/>
  <c r="N51" i="9" s="1"/>
  <c r="AF27" i="9" s="1"/>
  <c r="W38" i="1"/>
  <c r="V61" i="1"/>
  <c r="X22" i="1"/>
  <c r="X27" i="1" s="1"/>
  <c r="Y22" i="1"/>
  <c r="Y27" i="1" s="1"/>
  <c r="X52" i="1"/>
  <c r="Y52" i="1"/>
  <c r="V29" i="1"/>
  <c r="T29" i="1"/>
  <c r="G18" i="8" l="1"/>
  <c r="F18" i="8"/>
  <c r="Y57" i="1"/>
  <c r="X57" i="1"/>
  <c r="AF44" i="9"/>
  <c r="AF43" i="9"/>
  <c r="N63" i="9"/>
  <c r="N37" i="9"/>
  <c r="N38" i="9"/>
  <c r="T18" i="9"/>
  <c r="X38" i="1"/>
  <c r="Y38" i="1"/>
  <c r="W61" i="1"/>
  <c r="X61" i="1"/>
  <c r="V62" i="1"/>
  <c r="V30" i="1"/>
  <c r="V31" i="1" s="1"/>
  <c r="V33" i="1" s="1"/>
  <c r="T62" i="1"/>
  <c r="U29" i="1"/>
  <c r="U30" i="1" s="1"/>
  <c r="U31" i="1" s="1"/>
  <c r="U33" i="1" s="1"/>
  <c r="T30" i="1"/>
  <c r="T31" i="1" s="1"/>
  <c r="T33" i="1" s="1"/>
  <c r="H18" i="8" l="1"/>
  <c r="I18" i="8" s="1"/>
  <c r="N53" i="9"/>
  <c r="AF29" i="9" s="1"/>
  <c r="N52" i="9"/>
  <c r="AF28" i="9" s="1"/>
  <c r="N56" i="9"/>
  <c r="N89" i="9" s="1"/>
  <c r="V18" i="9"/>
  <c r="U18" i="9"/>
  <c r="J18" i="1"/>
  <c r="X62" i="1"/>
  <c r="E19" i="8" l="1"/>
  <c r="G19" i="8" s="1"/>
  <c r="N73" i="9"/>
  <c r="N77" i="9" s="1"/>
  <c r="N87" i="9" s="1"/>
  <c r="AF38" i="9" s="1"/>
  <c r="N64" i="9"/>
  <c r="N72" i="9"/>
  <c r="N86" i="9" s="1"/>
  <c r="U61" i="1"/>
  <c r="W62" i="1"/>
  <c r="W29" i="1"/>
  <c r="W30" i="1" s="1"/>
  <c r="W31" i="1" s="1"/>
  <c r="W33" i="1" s="1"/>
  <c r="F19" i="8" l="1"/>
  <c r="H19" i="8" s="1"/>
  <c r="I19" i="8" s="1"/>
  <c r="AF37" i="9"/>
  <c r="N85" i="9"/>
  <c r="AF36" i="9" s="1"/>
  <c r="N76" i="9"/>
  <c r="N71" i="9"/>
  <c r="S18" i="9"/>
  <c r="U62" i="1"/>
  <c r="Y33" i="1"/>
  <c r="X29" i="1"/>
  <c r="E20" i="8" l="1"/>
  <c r="G20" i="8" s="1"/>
  <c r="N75" i="9"/>
  <c r="Z29" i="1"/>
  <c r="E18" i="9" s="1"/>
  <c r="X30" i="1"/>
  <c r="X31" i="1" s="1"/>
  <c r="X33" i="1" s="1"/>
  <c r="F20" i="8" l="1"/>
  <c r="H20" i="8" s="1"/>
  <c r="I20" i="8" s="1"/>
  <c r="E21" i="8" s="1"/>
  <c r="Z61" i="1"/>
  <c r="Z30" i="1"/>
  <c r="Z31" i="1" s="1"/>
  <c r="G21" i="8" l="1"/>
  <c r="F21" i="8"/>
  <c r="X18" i="9"/>
  <c r="M18" i="9" s="1"/>
  <c r="Z62" i="1"/>
  <c r="Z33" i="1"/>
  <c r="H21" i="8" l="1"/>
  <c r="I21" i="8" s="1"/>
  <c r="E22" i="8" s="1"/>
  <c r="F22" i="8" s="1"/>
  <c r="P36" i="1"/>
  <c r="J16" i="1" s="1"/>
  <c r="P35" i="1"/>
  <c r="J15" i="1" s="1"/>
  <c r="G22" i="8" l="1"/>
  <c r="H22" i="8" s="1"/>
  <c r="I22" i="8" s="1"/>
  <c r="AI51" i="1"/>
  <c r="AH51" i="1"/>
  <c r="P34" i="1"/>
  <c r="E23" i="8" l="1"/>
  <c r="F23" i="8" s="1"/>
  <c r="J14" i="1"/>
  <c r="Y37" i="1"/>
  <c r="Z37" i="1"/>
  <c r="AG51" i="1"/>
  <c r="X37" i="1"/>
  <c r="V37" i="1"/>
  <c r="W37" i="1"/>
  <c r="Q37" i="1"/>
  <c r="R37" i="1"/>
  <c r="S37" i="1"/>
  <c r="U37" i="1"/>
  <c r="T37" i="1"/>
  <c r="AF19" i="1"/>
  <c r="G23" i="8" l="1"/>
  <c r="H23" i="8" s="1"/>
  <c r="I23" i="8" s="1"/>
  <c r="E24" i="8" s="1"/>
  <c r="Q63" i="1"/>
  <c r="Q64" i="1" s="1"/>
  <c r="Q66" i="1" s="1"/>
  <c r="P37" i="1"/>
  <c r="G24" i="8" l="1"/>
  <c r="F24" i="8"/>
  <c r="O13" i="9"/>
  <c r="AJ51" i="1"/>
  <c r="J17" i="1"/>
  <c r="H24" i="8" l="1"/>
  <c r="I24" i="8" s="1"/>
  <c r="O17" i="9"/>
  <c r="O21" i="9" s="1"/>
  <c r="E25" i="8" l="1"/>
  <c r="Q75" i="1"/>
  <c r="Q74" i="1"/>
  <c r="O19" i="9"/>
  <c r="G25" i="8" l="1"/>
  <c r="F25" i="8"/>
  <c r="O26" i="9"/>
  <c r="O32" i="9" s="1"/>
  <c r="R58" i="1" l="1"/>
  <c r="H25" i="8"/>
  <c r="I25" i="8" s="1"/>
  <c r="E26" i="8" s="1"/>
  <c r="O44" i="9"/>
  <c r="O163" i="9" s="1"/>
  <c r="O31" i="9"/>
  <c r="G26" i="8" l="1"/>
  <c r="F26" i="8"/>
  <c r="R73" i="1"/>
  <c r="R59" i="1"/>
  <c r="R71" i="1" s="1"/>
  <c r="O105" i="9"/>
  <c r="O148" i="9"/>
  <c r="O119" i="9"/>
  <c r="O102" i="9"/>
  <c r="O144" i="9"/>
  <c r="O33" i="9"/>
  <c r="H26" i="8" l="1"/>
  <c r="I26" i="8" s="1"/>
  <c r="E27" i="8" s="1"/>
  <c r="O106" i="9"/>
  <c r="O149" i="9"/>
  <c r="O43" i="9"/>
  <c r="O36" i="9"/>
  <c r="O38" i="9" s="1"/>
  <c r="O34" i="9"/>
  <c r="P29" i="9" s="1"/>
  <c r="P30" i="9" s="1"/>
  <c r="F27" i="8" l="1"/>
  <c r="G27" i="8"/>
  <c r="O116" i="9"/>
  <c r="O159" i="9"/>
  <c r="O45" i="9"/>
  <c r="O164" i="9" s="1"/>
  <c r="O53" i="9"/>
  <c r="AG29" i="9" s="1"/>
  <c r="O37" i="9"/>
  <c r="H27" i="8" l="1"/>
  <c r="I27" i="8" s="1"/>
  <c r="O48" i="9"/>
  <c r="O120" i="9"/>
  <c r="O46" i="9"/>
  <c r="O52" i="9"/>
  <c r="AG28" i="9" s="1"/>
  <c r="E28" i="8" l="1"/>
  <c r="F28" i="8" s="1"/>
  <c r="P41" i="9"/>
  <c r="P42" i="9" s="1"/>
  <c r="O51" i="9"/>
  <c r="O64" i="9"/>
  <c r="O54" i="9"/>
  <c r="G28" i="8" l="1"/>
  <c r="H28" i="8" s="1"/>
  <c r="I28" i="8" s="1"/>
  <c r="E29" i="8" s="1"/>
  <c r="O65" i="9"/>
  <c r="AG30" i="9"/>
  <c r="O63" i="9"/>
  <c r="AG27" i="9"/>
  <c r="O56" i="9"/>
  <c r="G29" i="8" l="1"/>
  <c r="F29" i="8"/>
  <c r="O72" i="9"/>
  <c r="O73" i="9"/>
  <c r="H29" i="8" l="1"/>
  <c r="I29" i="8" s="1"/>
  <c r="E30" i="8" s="1"/>
  <c r="G30" i="8" s="1"/>
  <c r="O117" i="9"/>
  <c r="O160" i="9"/>
  <c r="O145" i="9"/>
  <c r="O103" i="9"/>
  <c r="O86" i="9"/>
  <c r="O85" i="9"/>
  <c r="AG36" i="9" s="1"/>
  <c r="O76" i="9"/>
  <c r="O77" i="9"/>
  <c r="O87" i="9" s="1"/>
  <c r="AG38" i="9" s="1"/>
  <c r="O71" i="9"/>
  <c r="O75" i="9" s="1"/>
  <c r="F30" i="8" l="1"/>
  <c r="H30" i="8" s="1"/>
  <c r="I30" i="8" s="1"/>
  <c r="E31" i="8" s="1"/>
  <c r="AG37" i="9"/>
  <c r="F31" i="8" l="1"/>
  <c r="G31" i="8"/>
  <c r="H31" i="8" l="1"/>
  <c r="I31" i="8" s="1"/>
  <c r="E32" i="8" s="1"/>
  <c r="G32" i="8" l="1"/>
  <c r="F32" i="8"/>
  <c r="R63" i="1"/>
  <c r="R64" i="1" s="1"/>
  <c r="R66" i="1" s="1"/>
  <c r="P13" i="9" s="1"/>
  <c r="H32" i="8" l="1"/>
  <c r="I32" i="8" s="1"/>
  <c r="E33" i="8" s="1"/>
  <c r="G33" i="8" l="1"/>
  <c r="F33" i="8"/>
  <c r="P17" i="9"/>
  <c r="H33" i="8" l="1"/>
  <c r="I33" i="8" s="1"/>
  <c r="E34" i="8" s="1"/>
  <c r="F34" i="8" s="1"/>
  <c r="P19" i="9"/>
  <c r="P21" i="9"/>
  <c r="P26" i="9" s="1"/>
  <c r="P32" i="9" s="1"/>
  <c r="G34" i="8" l="1"/>
  <c r="H34" i="8" s="1"/>
  <c r="I34" i="8" s="1"/>
  <c r="E35" i="8" s="1"/>
  <c r="P31" i="9"/>
  <c r="P44" i="9"/>
  <c r="P163" i="9" s="1"/>
  <c r="G35" i="8" l="1"/>
  <c r="F35" i="8"/>
  <c r="P105" i="9"/>
  <c r="P148" i="9"/>
  <c r="P119" i="9"/>
  <c r="P102" i="9"/>
  <c r="P144" i="9"/>
  <c r="P33" i="9"/>
  <c r="P149" i="9" s="1"/>
  <c r="H35" i="8" l="1"/>
  <c r="I35" i="8" s="1"/>
  <c r="E36" i="8" s="1"/>
  <c r="P36" i="9"/>
  <c r="P38" i="9" s="1"/>
  <c r="P106" i="9"/>
  <c r="P43" i="9"/>
  <c r="P34" i="9"/>
  <c r="Q29" i="9" s="1"/>
  <c r="Q30" i="9" s="1"/>
  <c r="F36" i="8" l="1"/>
  <c r="G36" i="8"/>
  <c r="P116" i="9"/>
  <c r="P159" i="9"/>
  <c r="P37" i="9"/>
  <c r="P52" i="9" s="1"/>
  <c r="AH28" i="9" s="1"/>
  <c r="P53" i="9"/>
  <c r="AH29" i="9" s="1"/>
  <c r="P45" i="9"/>
  <c r="P164" i="9" s="1"/>
  <c r="H36" i="8" l="1"/>
  <c r="I36" i="8" s="1"/>
  <c r="P46" i="9"/>
  <c r="Q41" i="9" s="1"/>
  <c r="Q42" i="9" s="1"/>
  <c r="P120" i="9"/>
  <c r="P64" i="9"/>
  <c r="P48" i="9"/>
  <c r="R74" i="1" l="1"/>
  <c r="R75" i="1"/>
  <c r="E37" i="8"/>
  <c r="P51" i="9"/>
  <c r="P54" i="9"/>
  <c r="F37" i="8" l="1"/>
  <c r="G37" i="8"/>
  <c r="P65" i="9"/>
  <c r="AH30" i="9"/>
  <c r="P63" i="9"/>
  <c r="AH27" i="9"/>
  <c r="P56" i="9"/>
  <c r="H37" i="8" l="1"/>
  <c r="I37" i="8" s="1"/>
  <c r="E38" i="8" s="1"/>
  <c r="S58" i="1"/>
  <c r="P73" i="9"/>
  <c r="P72" i="9"/>
  <c r="S73" i="1" l="1"/>
  <c r="S59" i="1"/>
  <c r="S71" i="1" s="1"/>
  <c r="F38" i="8"/>
  <c r="G38" i="8"/>
  <c r="P145" i="9"/>
  <c r="P103" i="9"/>
  <c r="P160" i="9"/>
  <c r="P117" i="9"/>
  <c r="P77" i="9"/>
  <c r="P87" i="9" s="1"/>
  <c r="AH38" i="9" s="1"/>
  <c r="P86" i="9"/>
  <c r="P85" i="9"/>
  <c r="AH36" i="9" s="1"/>
  <c r="P76" i="9"/>
  <c r="P71" i="9"/>
  <c r="H38" i="8" l="1"/>
  <c r="I38" i="8" s="1"/>
  <c r="E39" i="8" s="1"/>
  <c r="AH37" i="9"/>
  <c r="P75" i="9"/>
  <c r="G39" i="8" l="1"/>
  <c r="F39" i="8"/>
  <c r="H39" i="8" l="1"/>
  <c r="I39" i="8" s="1"/>
  <c r="E40" i="8" s="1"/>
  <c r="G40" i="8" s="1"/>
  <c r="F40" i="8" l="1"/>
  <c r="H40" i="8" s="1"/>
  <c r="I40" i="8" s="1"/>
  <c r="E41" i="8" s="1"/>
  <c r="G41" i="8" s="1"/>
  <c r="F41" i="8" l="1"/>
  <c r="H41" i="8" s="1"/>
  <c r="I41" i="8" s="1"/>
  <c r="E42" i="8" s="1"/>
  <c r="G42" i="8" s="1"/>
  <c r="F42" i="8" l="1"/>
  <c r="H42" i="8" s="1"/>
  <c r="I42" i="8" s="1"/>
  <c r="E43" i="8" s="1"/>
  <c r="F43" i="8" s="1"/>
  <c r="G43" i="8" l="1"/>
  <c r="H43" i="8" s="1"/>
  <c r="I43" i="8" s="1"/>
  <c r="E44" i="8" s="1"/>
  <c r="G44" i="8" l="1"/>
  <c r="F44" i="8"/>
  <c r="S63" i="1"/>
  <c r="S64" i="1"/>
  <c r="S66" i="1" s="1"/>
  <c r="Q13" i="9" s="1"/>
  <c r="H44" i="8" l="1"/>
  <c r="I44" i="8" s="1"/>
  <c r="E45" i="8" s="1"/>
  <c r="F45" i="8" s="1"/>
  <c r="G45" i="8" l="1"/>
  <c r="H45" i="8" s="1"/>
  <c r="I45" i="8" s="1"/>
  <c r="E46" i="8" s="1"/>
  <c r="G46" i="8" s="1"/>
  <c r="Q17" i="9"/>
  <c r="F46" i="8" l="1"/>
  <c r="H46" i="8" s="1"/>
  <c r="I46" i="8" s="1"/>
  <c r="E47" i="8" s="1"/>
  <c r="Q19" i="9"/>
  <c r="Q21" i="9"/>
  <c r="Q26" i="9" s="1"/>
  <c r="Q32" i="9" s="1"/>
  <c r="G47" i="8" l="1"/>
  <c r="F47" i="8"/>
  <c r="Q31" i="9"/>
  <c r="Q44" i="9"/>
  <c r="Q163" i="9" s="1"/>
  <c r="H47" i="8" l="1"/>
  <c r="I47" i="8" s="1"/>
  <c r="E48" i="8" s="1"/>
  <c r="G48" i="8" s="1"/>
  <c r="Q105" i="9"/>
  <c r="Q148" i="9"/>
  <c r="Q119" i="9"/>
  <c r="Q102" i="9"/>
  <c r="Q144" i="9"/>
  <c r="Q33" i="9"/>
  <c r="Q149" i="9" s="1"/>
  <c r="F48" i="8" l="1"/>
  <c r="H48" i="8" s="1"/>
  <c r="I48" i="8" s="1"/>
  <c r="Q36" i="9"/>
  <c r="Q37" i="9" s="1"/>
  <c r="Q106" i="9"/>
  <c r="Q43" i="9"/>
  <c r="Q34" i="9"/>
  <c r="R29" i="9" s="1"/>
  <c r="R30" i="9" s="1"/>
  <c r="E49" i="8" l="1"/>
  <c r="S75" i="1"/>
  <c r="S74" i="1"/>
  <c r="Q116" i="9"/>
  <c r="Q159" i="9"/>
  <c r="Q38" i="9"/>
  <c r="Q53" i="9" s="1"/>
  <c r="AI29" i="9" s="1"/>
  <c r="Q52" i="9"/>
  <c r="AI28" i="9" s="1"/>
  <c r="Q45" i="9"/>
  <c r="Q164" i="9" s="1"/>
  <c r="G49" i="8" l="1"/>
  <c r="F49" i="8"/>
  <c r="Q46" i="9"/>
  <c r="R41" i="9" s="1"/>
  <c r="R42" i="9" s="1"/>
  <c r="Q120" i="9"/>
  <c r="Q64" i="9"/>
  <c r="Q48" i="9"/>
  <c r="T58" i="1" l="1"/>
  <c r="H49" i="8"/>
  <c r="I49" i="8" s="1"/>
  <c r="E50" i="8" s="1"/>
  <c r="Q51" i="9"/>
  <c r="Q54" i="9"/>
  <c r="G50" i="8" l="1"/>
  <c r="F50" i="8"/>
  <c r="T59" i="1"/>
  <c r="T71" i="1" s="1"/>
  <c r="T73" i="1"/>
  <c r="Q65" i="9"/>
  <c r="AI30" i="9"/>
  <c r="Q63" i="9"/>
  <c r="AI27" i="9"/>
  <c r="Q56" i="9"/>
  <c r="H50" i="8" l="1"/>
  <c r="I50" i="8" s="1"/>
  <c r="E51" i="8" s="1"/>
  <c r="G51" i="8" s="1"/>
  <c r="Q72" i="9"/>
  <c r="Q73" i="9"/>
  <c r="F51" i="8" l="1"/>
  <c r="H51" i="8" s="1"/>
  <c r="I51" i="8" s="1"/>
  <c r="E52" i="8" s="1"/>
  <c r="F52" i="8" s="1"/>
  <c r="Q160" i="9"/>
  <c r="Q117" i="9"/>
  <c r="Q103" i="9"/>
  <c r="Q145" i="9"/>
  <c r="Q77" i="9"/>
  <c r="Q87" i="9" s="1"/>
  <c r="AI38" i="9" s="1"/>
  <c r="Q85" i="9"/>
  <c r="AI36" i="9" s="1"/>
  <c r="Q86" i="9"/>
  <c r="Q76" i="9"/>
  <c r="Q71" i="9"/>
  <c r="G52" i="8" l="1"/>
  <c r="H52" i="8" s="1"/>
  <c r="I52" i="8" s="1"/>
  <c r="E53" i="8" s="1"/>
  <c r="AI37" i="9"/>
  <c r="Q75" i="9"/>
  <c r="F53" i="8" l="1"/>
  <c r="G53" i="8"/>
  <c r="H53" i="8" l="1"/>
  <c r="I53" i="8" s="1"/>
  <c r="E54" i="8" s="1"/>
  <c r="F54" i="8" s="1"/>
  <c r="G54" i="8" l="1"/>
  <c r="H54" i="8" s="1"/>
  <c r="I54" i="8" s="1"/>
  <c r="E55" i="8" s="1"/>
  <c r="G55" i="8" l="1"/>
  <c r="F55" i="8"/>
  <c r="H55" i="8" l="1"/>
  <c r="I55" i="8" s="1"/>
  <c r="E56" i="8" s="1"/>
  <c r="G56" i="8" s="1"/>
  <c r="F56" i="8" l="1"/>
  <c r="H56" i="8" s="1"/>
  <c r="I56" i="8" s="1"/>
  <c r="E57" i="8" s="1"/>
  <c r="G57" i="8" s="1"/>
  <c r="F57" i="8" l="1"/>
  <c r="H57" i="8" s="1"/>
  <c r="I57" i="8" s="1"/>
  <c r="E58" i="8" s="1"/>
  <c r="G58" i="8" s="1"/>
  <c r="F58" i="8" l="1"/>
  <c r="H58" i="8" s="1"/>
  <c r="I58" i="8" s="1"/>
  <c r="E59" i="8" s="1"/>
  <c r="G59" i="8" s="1"/>
  <c r="F59" i="8" l="1"/>
  <c r="H59" i="8" s="1"/>
  <c r="I59" i="8" s="1"/>
  <c r="E60" i="8" s="1"/>
  <c r="G60" i="8" s="1"/>
  <c r="F60" i="8" l="1"/>
  <c r="H60" i="8" s="1"/>
  <c r="I60" i="8" s="1"/>
  <c r="T75" i="1" l="1"/>
  <c r="E61" i="8"/>
  <c r="F61" i="8" s="1"/>
  <c r="U58" i="1" s="1"/>
  <c r="T74" i="1"/>
  <c r="T63" i="1"/>
  <c r="T64" i="1" s="1"/>
  <c r="T66" i="1" s="1"/>
  <c r="R13" i="9" l="1"/>
  <c r="R17" i="9" s="1"/>
  <c r="U73" i="1"/>
  <c r="U59" i="1"/>
  <c r="G61" i="8"/>
  <c r="H61" i="8" s="1"/>
  <c r="I61" i="8" s="1"/>
  <c r="E62" i="8" s="1"/>
  <c r="U71" i="1" l="1"/>
  <c r="G62" i="8"/>
  <c r="F62" i="8"/>
  <c r="R19" i="9" l="1"/>
  <c r="R21" i="9"/>
  <c r="R26" i="9" s="1"/>
  <c r="R32" i="9" s="1"/>
  <c r="H62" i="8"/>
  <c r="I62" i="8" s="1"/>
  <c r="E63" i="8" s="1"/>
  <c r="R31" i="9" l="1"/>
  <c r="R44" i="9"/>
  <c r="R163" i="9" s="1"/>
  <c r="G63" i="8"/>
  <c r="F63" i="8"/>
  <c r="R105" i="9" l="1"/>
  <c r="R148" i="9"/>
  <c r="R119" i="9"/>
  <c r="R102" i="9"/>
  <c r="R144" i="9"/>
  <c r="R33" i="9"/>
  <c r="R149" i="9" s="1"/>
  <c r="H63" i="8"/>
  <c r="I63" i="8" s="1"/>
  <c r="E64" i="8" s="1"/>
  <c r="R36" i="9" l="1"/>
  <c r="R37" i="9" s="1"/>
  <c r="R106" i="9"/>
  <c r="R43" i="9"/>
  <c r="R34" i="9"/>
  <c r="S29" i="9" s="1"/>
  <c r="S30" i="9" s="1"/>
  <c r="G64" i="8"/>
  <c r="F64" i="8"/>
  <c r="R116" i="9" l="1"/>
  <c r="R159" i="9"/>
  <c r="R38" i="9"/>
  <c r="R53" i="9" s="1"/>
  <c r="AJ29" i="9" s="1"/>
  <c r="R52" i="9"/>
  <c r="AJ28" i="9" s="1"/>
  <c r="R45" i="9"/>
  <c r="R164" i="9" s="1"/>
  <c r="H64" i="8"/>
  <c r="I64" i="8" s="1"/>
  <c r="E65" i="8" s="1"/>
  <c r="R46" i="9" l="1"/>
  <c r="S41" i="9" s="1"/>
  <c r="S42" i="9" s="1"/>
  <c r="R120" i="9"/>
  <c r="R64" i="9"/>
  <c r="R48" i="9"/>
  <c r="G65" i="8"/>
  <c r="F65" i="8"/>
  <c r="R51" i="9" l="1"/>
  <c r="R54" i="9"/>
  <c r="H65" i="8"/>
  <c r="I65" i="8" s="1"/>
  <c r="E66" i="8" s="1"/>
  <c r="R65" i="9" l="1"/>
  <c r="AJ30" i="9"/>
  <c r="R63" i="9"/>
  <c r="AJ27" i="9"/>
  <c r="R56" i="9"/>
  <c r="G66" i="8"/>
  <c r="F66" i="8"/>
  <c r="R72" i="9" l="1"/>
  <c r="R73" i="9"/>
  <c r="H66" i="8"/>
  <c r="I66" i="8" s="1"/>
  <c r="E67" i="8" s="1"/>
  <c r="R145" i="9" l="1"/>
  <c r="R103" i="9"/>
  <c r="R160" i="9"/>
  <c r="R117" i="9"/>
  <c r="R77" i="9"/>
  <c r="R87" i="9" s="1"/>
  <c r="AJ38" i="9" s="1"/>
  <c r="R85" i="9"/>
  <c r="AJ36" i="9" s="1"/>
  <c r="R86" i="9"/>
  <c r="R76" i="9"/>
  <c r="R71" i="9"/>
  <c r="G67" i="8"/>
  <c r="F67" i="8"/>
  <c r="AJ37" i="9" l="1"/>
  <c r="R75" i="9"/>
  <c r="H67" i="8"/>
  <c r="I67" i="8" s="1"/>
  <c r="E68" i="8" s="1"/>
  <c r="G68" i="8" l="1"/>
  <c r="F68" i="8"/>
  <c r="H68" i="8" l="1"/>
  <c r="I68" i="8" s="1"/>
  <c r="E69" i="8" s="1"/>
  <c r="G69" i="8" l="1"/>
  <c r="F69" i="8"/>
  <c r="H69" i="8" l="1"/>
  <c r="I69" i="8" s="1"/>
  <c r="E70" i="8" s="1"/>
  <c r="G70" i="8" l="1"/>
  <c r="F70" i="8"/>
  <c r="H70" i="8" l="1"/>
  <c r="I70" i="8" s="1"/>
  <c r="E71" i="8" s="1"/>
  <c r="G71" i="8" l="1"/>
  <c r="F71" i="8"/>
  <c r="H71" i="8" l="1"/>
  <c r="I71" i="8" s="1"/>
  <c r="E72" i="8" s="1"/>
  <c r="G72" i="8" l="1"/>
  <c r="F72" i="8"/>
  <c r="H72" i="8" l="1"/>
  <c r="I72" i="8" s="1"/>
  <c r="U75" i="1" l="1"/>
  <c r="E73" i="8"/>
  <c r="F73" i="8" s="1"/>
  <c r="V58" i="1" s="1"/>
  <c r="U74" i="1"/>
  <c r="U63" i="1"/>
  <c r="U64" i="1" s="1"/>
  <c r="U66" i="1" s="1"/>
  <c r="S13" i="9" l="1"/>
  <c r="S17" i="9" s="1"/>
  <c r="V73" i="1"/>
  <c r="V59" i="1"/>
  <c r="G73" i="8"/>
  <c r="H73" i="8" s="1"/>
  <c r="I73" i="8" s="1"/>
  <c r="E74" i="8" s="1"/>
  <c r="V71" i="1" l="1"/>
  <c r="S19" i="9"/>
  <c r="S21" i="9"/>
  <c r="S26" i="9" s="1"/>
  <c r="S32" i="9" s="1"/>
  <c r="G74" i="8"/>
  <c r="F74" i="8"/>
  <c r="S31" i="9" l="1"/>
  <c r="S44" i="9"/>
  <c r="S163" i="9" s="1"/>
  <c r="H74" i="8"/>
  <c r="I74" i="8" s="1"/>
  <c r="E75" i="8" s="1"/>
  <c r="S105" i="9" l="1"/>
  <c r="S148" i="9"/>
  <c r="S119" i="9"/>
  <c r="S102" i="9"/>
  <c r="S144" i="9"/>
  <c r="S33" i="9"/>
  <c r="S149" i="9" s="1"/>
  <c r="G75" i="8"/>
  <c r="F75" i="8"/>
  <c r="S36" i="9" l="1"/>
  <c r="S37" i="9" s="1"/>
  <c r="S106" i="9"/>
  <c r="S43" i="9"/>
  <c r="S34" i="9"/>
  <c r="T29" i="9" s="1"/>
  <c r="T30" i="9" s="1"/>
  <c r="H75" i="8"/>
  <c r="I75" i="8" s="1"/>
  <c r="E76" i="8" s="1"/>
  <c r="S116" i="9" l="1"/>
  <c r="S159" i="9"/>
  <c r="S38" i="9"/>
  <c r="S53" i="9" s="1"/>
  <c r="AK29" i="9" s="1"/>
  <c r="S52" i="9"/>
  <c r="AK28" i="9" s="1"/>
  <c r="S45" i="9"/>
  <c r="S164" i="9" s="1"/>
  <c r="F76" i="8"/>
  <c r="G76" i="8"/>
  <c r="S46" i="9" l="1"/>
  <c r="T41" i="9" s="1"/>
  <c r="T42" i="9" s="1"/>
  <c r="S120" i="9"/>
  <c r="S64" i="9"/>
  <c r="S48" i="9"/>
  <c r="H76" i="8"/>
  <c r="I76" i="8" s="1"/>
  <c r="E77" i="8" s="1"/>
  <c r="S51" i="9" l="1"/>
  <c r="AK27" i="9" s="1"/>
  <c r="S54" i="9"/>
  <c r="F77" i="8"/>
  <c r="G77" i="8"/>
  <c r="S65" i="9" l="1"/>
  <c r="AK30" i="9"/>
  <c r="S56" i="9"/>
  <c r="S63" i="9"/>
  <c r="H77" i="8"/>
  <c r="I77" i="8" s="1"/>
  <c r="E78" i="8" s="1"/>
  <c r="S72" i="9" l="1"/>
  <c r="S73" i="9"/>
  <c r="G78" i="8"/>
  <c r="F78" i="8"/>
  <c r="S160" i="9" l="1"/>
  <c r="S117" i="9"/>
  <c r="S145" i="9"/>
  <c r="S103" i="9"/>
  <c r="S77" i="9"/>
  <c r="S87" i="9" s="1"/>
  <c r="AK38" i="9" s="1"/>
  <c r="S85" i="9"/>
  <c r="AK36" i="9" s="1"/>
  <c r="S86" i="9"/>
  <c r="AK37" i="9" s="1"/>
  <c r="S76" i="9"/>
  <c r="S71" i="9"/>
  <c r="H78" i="8"/>
  <c r="I78" i="8" s="1"/>
  <c r="E79" i="8" s="1"/>
  <c r="S75" i="9" l="1"/>
  <c r="G79" i="8"/>
  <c r="F79" i="8"/>
  <c r="H79" i="8" l="1"/>
  <c r="I79" i="8" s="1"/>
  <c r="E80" i="8" s="1"/>
  <c r="F80" i="8" l="1"/>
  <c r="G80" i="8"/>
  <c r="H80" i="8" l="1"/>
  <c r="I80" i="8" s="1"/>
  <c r="E81" i="8" s="1"/>
  <c r="F81" i="8" l="1"/>
  <c r="G81" i="8"/>
  <c r="H81" i="8" l="1"/>
  <c r="I81" i="8" s="1"/>
  <c r="E82" i="8" s="1"/>
  <c r="F82" i="8" l="1"/>
  <c r="G82" i="8"/>
  <c r="H82" i="8" l="1"/>
  <c r="I82" i="8" s="1"/>
  <c r="E83" i="8" s="1"/>
  <c r="F83" i="8" l="1"/>
  <c r="G83" i="8"/>
  <c r="H83" i="8" l="1"/>
  <c r="I83" i="8" s="1"/>
  <c r="E84" i="8" s="1"/>
  <c r="F84" i="8" l="1"/>
  <c r="G84" i="8"/>
  <c r="H84" i="8" l="1"/>
  <c r="I84" i="8" s="1"/>
  <c r="V75" i="1" l="1"/>
  <c r="J26" i="1" s="1"/>
  <c r="E85" i="8"/>
  <c r="F85" i="8" s="1"/>
  <c r="W58" i="1" s="1"/>
  <c r="V74" i="1"/>
  <c r="V63" i="1"/>
  <c r="V64" i="1" s="1"/>
  <c r="V66" i="1" s="1"/>
  <c r="T13" i="9" l="1"/>
  <c r="T17" i="9" s="1"/>
  <c r="T19" i="9" s="1"/>
  <c r="W73" i="1"/>
  <c r="W59" i="1"/>
  <c r="G85" i="8"/>
  <c r="H85" i="8" s="1"/>
  <c r="I85" i="8" s="1"/>
  <c r="E86" i="8" s="1"/>
  <c r="W71" i="1" l="1"/>
  <c r="T21" i="9"/>
  <c r="T26" i="9" s="1"/>
  <c r="T32" i="9" s="1"/>
  <c r="G86" i="8"/>
  <c r="T31" i="9" l="1"/>
  <c r="T44" i="9"/>
  <c r="T163" i="9" s="1"/>
  <c r="F86" i="8"/>
  <c r="H86" i="8" s="1"/>
  <c r="I86" i="8" s="1"/>
  <c r="E87" i="8" s="1"/>
  <c r="T144" i="9" l="1"/>
  <c r="T105" i="9"/>
  <c r="T148" i="9"/>
  <c r="T119" i="9"/>
  <c r="T33" i="9"/>
  <c r="T102" i="9"/>
  <c r="F87" i="8"/>
  <c r="G87" i="8"/>
  <c r="T43" i="9" l="1"/>
  <c r="T159" i="9" s="1"/>
  <c r="T106" i="9"/>
  <c r="T149" i="9"/>
  <c r="T36" i="9"/>
  <c r="T37" i="9" s="1"/>
  <c r="T34" i="9"/>
  <c r="U29" i="9" s="1"/>
  <c r="U30" i="9" s="1"/>
  <c r="H87" i="8"/>
  <c r="I87" i="8" s="1"/>
  <c r="E88" i="8" l="1"/>
  <c r="G88" i="8" s="1"/>
  <c r="T45" i="9"/>
  <c r="T164" i="9" s="1"/>
  <c r="T116" i="9"/>
  <c r="T38" i="9"/>
  <c r="T52" i="9"/>
  <c r="AL28" i="9" s="1"/>
  <c r="F88" i="8" l="1"/>
  <c r="H88" i="8" s="1"/>
  <c r="I88" i="8" s="1"/>
  <c r="T53" i="9"/>
  <c r="T64" i="9" s="1"/>
  <c r="T48" i="9"/>
  <c r="T51" i="9" s="1"/>
  <c r="AL27" i="9" s="1"/>
  <c r="T46" i="9"/>
  <c r="U41" i="9" s="1"/>
  <c r="U42" i="9" s="1"/>
  <c r="T120" i="9"/>
  <c r="E89" i="8" l="1"/>
  <c r="F89" i="8" s="1"/>
  <c r="AL29" i="9"/>
  <c r="T54" i="9"/>
  <c r="T56" i="9"/>
  <c r="T63" i="9"/>
  <c r="G89" i="8" l="1"/>
  <c r="H89" i="8" s="1"/>
  <c r="I89" i="8" s="1"/>
  <c r="E90" i="8" s="1"/>
  <c r="T65" i="9"/>
  <c r="AL30" i="9"/>
  <c r="T73" i="9"/>
  <c r="T72" i="9"/>
  <c r="T85" i="9" s="1"/>
  <c r="G90" i="8" l="1"/>
  <c r="F90" i="8"/>
  <c r="T145" i="9"/>
  <c r="T103" i="9"/>
  <c r="T160" i="9"/>
  <c r="T117" i="9"/>
  <c r="T77" i="9"/>
  <c r="T87" i="9" s="1"/>
  <c r="AL38" i="9" s="1"/>
  <c r="AL36" i="9"/>
  <c r="T86" i="9"/>
  <c r="T76" i="9"/>
  <c r="T71" i="9"/>
  <c r="H90" i="8" l="1"/>
  <c r="I90" i="8" s="1"/>
  <c r="E91" i="8" s="1"/>
  <c r="F91" i="8" s="1"/>
  <c r="AL37" i="9"/>
  <c r="T75" i="9"/>
  <c r="G91" i="8" l="1"/>
  <c r="H91" i="8" s="1"/>
  <c r="I91" i="8" s="1"/>
  <c r="E92" i="8" s="1"/>
  <c r="G92" i="8" s="1"/>
  <c r="F92" i="8" l="1"/>
  <c r="H92" i="8" s="1"/>
  <c r="I92" i="8" s="1"/>
  <c r="E93" i="8" s="1"/>
  <c r="G93" i="8" l="1"/>
  <c r="F93" i="8"/>
  <c r="H93" i="8" l="1"/>
  <c r="I93" i="8" s="1"/>
  <c r="E94" i="8" s="1"/>
  <c r="G94" i="8" l="1"/>
  <c r="F94" i="8"/>
  <c r="H94" i="8" l="1"/>
  <c r="I94" i="8" s="1"/>
  <c r="E95" i="8" s="1"/>
  <c r="G95" i="8" l="1"/>
  <c r="F95" i="8"/>
  <c r="H95" i="8" l="1"/>
  <c r="I95" i="8" s="1"/>
  <c r="E96" i="8" s="1"/>
  <c r="G96" i="8" l="1"/>
  <c r="F96" i="8"/>
  <c r="H96" i="8" l="1"/>
  <c r="I96" i="8" s="1"/>
  <c r="E97" i="8" s="1"/>
  <c r="W74" i="1" l="1"/>
  <c r="W63" i="1"/>
  <c r="W64" i="1" s="1"/>
  <c r="F97" i="8"/>
  <c r="X58" i="1" s="1"/>
  <c r="X73" i="1" l="1"/>
  <c r="X59" i="1"/>
  <c r="W66" i="1"/>
  <c r="G97" i="8"/>
  <c r="H97" i="8" s="1"/>
  <c r="I97" i="8" s="1"/>
  <c r="E98" i="8" s="1"/>
  <c r="X71" i="1" l="1"/>
  <c r="U13" i="9"/>
  <c r="G98" i="8"/>
  <c r="F98" i="8"/>
  <c r="U17" i="9" l="1"/>
  <c r="U19" i="9" s="1"/>
  <c r="H98" i="8"/>
  <c r="I98" i="8" s="1"/>
  <c r="E99" i="8" s="1"/>
  <c r="U21" i="9" l="1"/>
  <c r="U26" i="9" s="1"/>
  <c r="U32" i="9" s="1"/>
  <c r="G99" i="8"/>
  <c r="F99" i="8"/>
  <c r="U31" i="9" l="1"/>
  <c r="U144" i="9" s="1"/>
  <c r="U44" i="9"/>
  <c r="U163" i="9" s="1"/>
  <c r="H99" i="8"/>
  <c r="I99" i="8" s="1"/>
  <c r="E100" i="8" s="1"/>
  <c r="U105" i="9" l="1"/>
  <c r="U148" i="9"/>
  <c r="U119" i="9"/>
  <c r="U102" i="9"/>
  <c r="U33" i="9"/>
  <c r="G100" i="8"/>
  <c r="F100" i="8"/>
  <c r="U36" i="9" l="1"/>
  <c r="U37" i="9" s="1"/>
  <c r="U149" i="9"/>
  <c r="U106" i="9"/>
  <c r="U43" i="9"/>
  <c r="U34" i="9"/>
  <c r="V29" i="9" s="1"/>
  <c r="V30" i="9" s="1"/>
  <c r="H100" i="8"/>
  <c r="I100" i="8" s="1"/>
  <c r="E101" i="8" s="1"/>
  <c r="U116" i="9" l="1"/>
  <c r="U159" i="9"/>
  <c r="U38" i="9"/>
  <c r="U52" i="9"/>
  <c r="AM28" i="9" s="1"/>
  <c r="U45" i="9"/>
  <c r="U164" i="9" s="1"/>
  <c r="G101" i="8"/>
  <c r="F101" i="8"/>
  <c r="U53" i="9" l="1"/>
  <c r="U48" i="9"/>
  <c r="U120" i="9"/>
  <c r="U46" i="9"/>
  <c r="V41" i="9" s="1"/>
  <c r="V42" i="9" s="1"/>
  <c r="H101" i="8"/>
  <c r="I101" i="8" s="1"/>
  <c r="E102" i="8" s="1"/>
  <c r="AM29" i="9" l="1"/>
  <c r="U64" i="9"/>
  <c r="U51" i="9"/>
  <c r="U54" i="9"/>
  <c r="G102" i="8"/>
  <c r="F102" i="8"/>
  <c r="U65" i="9" l="1"/>
  <c r="AM30" i="9"/>
  <c r="U56" i="9"/>
  <c r="AM27" i="9"/>
  <c r="U63" i="9"/>
  <c r="H102" i="8"/>
  <c r="I102" i="8" s="1"/>
  <c r="E103" i="8" s="1"/>
  <c r="U73" i="9" l="1"/>
  <c r="U72" i="9"/>
  <c r="G103" i="8"/>
  <c r="F103" i="8"/>
  <c r="U160" i="9" l="1"/>
  <c r="U117" i="9"/>
  <c r="U145" i="9"/>
  <c r="U103" i="9"/>
  <c r="U77" i="9"/>
  <c r="U87" i="9" s="1"/>
  <c r="AM38" i="9" s="1"/>
  <c r="U71" i="9"/>
  <c r="U85" i="9"/>
  <c r="AM36" i="9" s="1"/>
  <c r="U86" i="9"/>
  <c r="U76" i="9"/>
  <c r="H103" i="8"/>
  <c r="I103" i="8" s="1"/>
  <c r="E104" i="8" s="1"/>
  <c r="AM37" i="9" l="1"/>
  <c r="U75" i="9"/>
  <c r="G104" i="8"/>
  <c r="F104" i="8"/>
  <c r="H104" i="8" l="1"/>
  <c r="I104" i="8" s="1"/>
  <c r="E105" i="8" s="1"/>
  <c r="G105" i="8" l="1"/>
  <c r="F105" i="8"/>
  <c r="H105" i="8" l="1"/>
  <c r="I105" i="8" s="1"/>
  <c r="E106" i="8" s="1"/>
  <c r="F106" i="8" l="1"/>
  <c r="G106" i="8"/>
  <c r="H106" i="8" l="1"/>
  <c r="I106" i="8" s="1"/>
  <c r="E107" i="8" s="1"/>
  <c r="F107" i="8" l="1"/>
  <c r="G107" i="8"/>
  <c r="H107" i="8" l="1"/>
  <c r="I107" i="8" s="1"/>
  <c r="E108" i="8" s="1"/>
  <c r="F108" i="8" l="1"/>
  <c r="G108" i="8"/>
  <c r="H108" i="8" l="1"/>
  <c r="I108" i="8" s="1"/>
  <c r="E109" i="8" s="1"/>
  <c r="X74" i="1" l="1"/>
  <c r="G109" i="8"/>
  <c r="X63" i="1"/>
  <c r="X64" i="1" s="1"/>
  <c r="X66" i="1" s="1"/>
  <c r="V13" i="9" l="1"/>
  <c r="F109" i="8"/>
  <c r="V17" i="9" l="1"/>
  <c r="V19" i="9" s="1"/>
  <c r="H109" i="8"/>
  <c r="I109" i="8" s="1"/>
  <c r="Y58" i="1"/>
  <c r="E110" i="8" l="1"/>
  <c r="G110" i="8" s="1"/>
  <c r="V21" i="9"/>
  <c r="V26" i="9" s="1"/>
  <c r="Y59" i="1"/>
  <c r="Y73" i="1"/>
  <c r="F110" i="8" l="1"/>
  <c r="H110" i="8" s="1"/>
  <c r="I110" i="8" s="1"/>
  <c r="E111" i="8" s="1"/>
  <c r="V31" i="9"/>
  <c r="V144" i="9" s="1"/>
  <c r="V32" i="9"/>
  <c r="V148" i="9" s="1"/>
  <c r="V44" i="9"/>
  <c r="V163" i="9" s="1"/>
  <c r="Y71" i="1"/>
  <c r="Y66" i="1"/>
  <c r="G111" i="8" l="1"/>
  <c r="F111" i="8"/>
  <c r="V102" i="9"/>
  <c r="V33" i="9"/>
  <c r="V105" i="9"/>
  <c r="V119" i="9"/>
  <c r="W13" i="9"/>
  <c r="H111" i="8" l="1"/>
  <c r="I111" i="8" s="1"/>
  <c r="E112" i="8" s="1"/>
  <c r="F112" i="8" s="1"/>
  <c r="V149" i="9"/>
  <c r="V36" i="9"/>
  <c r="V38" i="9" s="1"/>
  <c r="V53" i="9" s="1"/>
  <c r="V34" i="9"/>
  <c r="W29" i="9" s="1"/>
  <c r="W30" i="9" s="1"/>
  <c r="V106" i="9"/>
  <c r="V43" i="9"/>
  <c r="V116" i="9" s="1"/>
  <c r="W17" i="9"/>
  <c r="W19" i="9" s="1"/>
  <c r="AO67" i="9" s="1"/>
  <c r="G112" i="8" l="1"/>
  <c r="H112" i="8" s="1"/>
  <c r="I112" i="8" s="1"/>
  <c r="E113" i="8" s="1"/>
  <c r="V37" i="9"/>
  <c r="V52" i="9" s="1"/>
  <c r="AN28" i="9" s="1"/>
  <c r="V159" i="9"/>
  <c r="V45" i="9"/>
  <c r="V164" i="9" s="1"/>
  <c r="AN29" i="9"/>
  <c r="W21" i="9"/>
  <c r="W26" i="9" s="1"/>
  <c r="W32" i="9" s="1"/>
  <c r="V64" i="9" l="1"/>
  <c r="V48" i="9"/>
  <c r="V51" i="9" s="1"/>
  <c r="AN27" i="9" s="1"/>
  <c r="V120" i="9"/>
  <c r="V46" i="9"/>
  <c r="W41" i="9" s="1"/>
  <c r="W42" i="9" s="1"/>
  <c r="W44" i="9"/>
  <c r="W163" i="9" s="1"/>
  <c r="W31" i="9"/>
  <c r="W102" i="9" s="1"/>
  <c r="W105" i="9"/>
  <c r="W148" i="9"/>
  <c r="F113" i="8"/>
  <c r="G113" i="8"/>
  <c r="V54" i="9" l="1"/>
  <c r="V65" i="9" s="1"/>
  <c r="W119" i="9"/>
  <c r="W33" i="9"/>
  <c r="W144" i="9"/>
  <c r="V56" i="9"/>
  <c r="V63" i="9"/>
  <c r="H113" i="8"/>
  <c r="I113" i="8" s="1"/>
  <c r="E114" i="8" s="1"/>
  <c r="W149" i="9" l="1"/>
  <c r="AN30" i="9"/>
  <c r="W34" i="9"/>
  <c r="X29" i="9" s="1"/>
  <c r="X30" i="9" s="1"/>
  <c r="W106" i="9"/>
  <c r="W43" i="9"/>
  <c r="W116" i="9" s="1"/>
  <c r="W36" i="9"/>
  <c r="W37" i="9" s="1"/>
  <c r="W52" i="9" s="1"/>
  <c r="AO28" i="9" s="1"/>
  <c r="V72" i="9"/>
  <c r="V73" i="9"/>
  <c r="G114" i="8"/>
  <c r="F114" i="8"/>
  <c r="V160" i="9" l="1"/>
  <c r="V117" i="9"/>
  <c r="V145" i="9"/>
  <c r="V103" i="9"/>
  <c r="W38" i="9"/>
  <c r="W45" i="9"/>
  <c r="W164" i="9" s="1"/>
  <c r="W159" i="9"/>
  <c r="V86" i="9"/>
  <c r="V85" i="9"/>
  <c r="AN36" i="9" s="1"/>
  <c r="V76" i="9"/>
  <c r="V77" i="9"/>
  <c r="V71" i="9"/>
  <c r="H114" i="8"/>
  <c r="I114" i="8" s="1"/>
  <c r="E115" i="8" s="1"/>
  <c r="AN37" i="9" l="1"/>
  <c r="W53" i="9"/>
  <c r="W120" i="9"/>
  <c r="W48" i="9"/>
  <c r="W51" i="9" s="1"/>
  <c r="AO27" i="9" s="1"/>
  <c r="W46" i="9"/>
  <c r="X41" i="9" s="1"/>
  <c r="X42" i="9" s="1"/>
  <c r="V87" i="9"/>
  <c r="AN38" i="9" s="1"/>
  <c r="V75" i="9"/>
  <c r="G115" i="8"/>
  <c r="F115" i="8"/>
  <c r="W64" i="9" l="1"/>
  <c r="AO29" i="9"/>
  <c r="W54" i="9"/>
  <c r="W56" i="9"/>
  <c r="W63" i="9"/>
  <c r="H115" i="8"/>
  <c r="I115" i="8" s="1"/>
  <c r="E116" i="8" s="1"/>
  <c r="W65" i="9" l="1"/>
  <c r="AO30" i="9"/>
  <c r="W89" i="9"/>
  <c r="W72" i="9"/>
  <c r="W73" i="9"/>
  <c r="G116" i="8"/>
  <c r="F116" i="8"/>
  <c r="W145" i="9" l="1"/>
  <c r="W103" i="9"/>
  <c r="W117" i="9"/>
  <c r="W160" i="9"/>
  <c r="W86" i="9"/>
  <c r="W85" i="9"/>
  <c r="AO36" i="9" s="1"/>
  <c r="W77" i="9"/>
  <c r="W76" i="9"/>
  <c r="W71" i="9"/>
  <c r="H116" i="8"/>
  <c r="I116" i="8" s="1"/>
  <c r="E117" i="8" s="1"/>
  <c r="AO37" i="9" l="1"/>
  <c r="W87" i="9"/>
  <c r="AO38" i="9" s="1"/>
  <c r="W75" i="9"/>
  <c r="G117" i="8"/>
  <c r="F117" i="8"/>
  <c r="H117" i="8" l="1"/>
  <c r="I117" i="8" s="1"/>
  <c r="E118" i="8" s="1"/>
  <c r="G118" i="8" l="1"/>
  <c r="F118" i="8"/>
  <c r="H118" i="8" l="1"/>
  <c r="I118" i="8" s="1"/>
  <c r="E119" i="8" s="1"/>
  <c r="G119" i="8" l="1"/>
  <c r="F119" i="8"/>
  <c r="H119" i="8" l="1"/>
  <c r="I119" i="8" s="1"/>
  <c r="E120" i="8" s="1"/>
  <c r="G120" i="8" l="1"/>
  <c r="F120" i="8"/>
  <c r="H120" i="8" l="1"/>
  <c r="I120" i="8" s="1"/>
  <c r="E121" i="8" s="1"/>
  <c r="Y74" i="1" l="1"/>
  <c r="G121" i="8"/>
  <c r="F121" i="8" l="1"/>
  <c r="H121" i="8" l="1"/>
  <c r="I121" i="8" s="1"/>
  <c r="Z58" i="1"/>
  <c r="E122" i="8" l="1"/>
  <c r="G122" i="8" s="1"/>
  <c r="Z59" i="1"/>
  <c r="Z73" i="1"/>
  <c r="J25" i="1" s="1"/>
  <c r="F122" i="8" l="1"/>
  <c r="H122" i="8" s="1"/>
  <c r="I122" i="8" s="1"/>
  <c r="E123" i="8" s="1"/>
  <c r="Z71" i="1"/>
  <c r="J24" i="1" s="1"/>
  <c r="F123" i="8" l="1"/>
  <c r="G123" i="8"/>
  <c r="H123" i="8" l="1"/>
  <c r="I123" i="8" s="1"/>
  <c r="E124" i="8" s="1"/>
  <c r="G124" i="8" s="1"/>
  <c r="F124" i="8" l="1"/>
  <c r="H124" i="8" s="1"/>
  <c r="I124" i="8" s="1"/>
  <c r="E125" i="8" s="1"/>
  <c r="F125" i="8" l="1"/>
  <c r="G125" i="8"/>
  <c r="H125" i="8" l="1"/>
  <c r="I125" i="8" s="1"/>
  <c r="E126" i="8" s="1"/>
  <c r="G126" i="8" l="1"/>
  <c r="F126" i="8"/>
  <c r="H126" i="8" l="1"/>
  <c r="I126" i="8" s="1"/>
  <c r="E127" i="8" s="1"/>
  <c r="G127" i="8" l="1"/>
  <c r="F127" i="8"/>
  <c r="H127" i="8" l="1"/>
  <c r="I127" i="8" s="1"/>
  <c r="E128" i="8" s="1"/>
  <c r="F128" i="8" l="1"/>
  <c r="G128" i="8"/>
  <c r="H128" i="8" l="1"/>
  <c r="I128" i="8" s="1"/>
  <c r="E129" i="8" s="1"/>
  <c r="F129" i="8" l="1"/>
  <c r="G129" i="8"/>
  <c r="H129" i="8" l="1"/>
  <c r="I129" i="8" s="1"/>
  <c r="E130" i="8" s="1"/>
  <c r="G130" i="8" l="1"/>
  <c r="F130" i="8"/>
  <c r="H130" i="8" l="1"/>
  <c r="I130" i="8" s="1"/>
  <c r="E131" i="8" s="1"/>
  <c r="G131" i="8" l="1"/>
  <c r="F131" i="8"/>
  <c r="H131" i="8" l="1"/>
  <c r="I131" i="8" s="1"/>
  <c r="E132" i="8" s="1"/>
  <c r="G132" i="8" l="1"/>
  <c r="F132" i="8"/>
  <c r="H132" i="8" l="1"/>
  <c r="I132" i="8" s="1"/>
  <c r="E133" i="8" s="1"/>
  <c r="Z74" i="1" l="1"/>
  <c r="Z63" i="1"/>
  <c r="Z64" i="1" s="1"/>
  <c r="Z66" i="1" s="1"/>
  <c r="F133" i="8"/>
  <c r="X13" i="9" l="1"/>
  <c r="P69" i="1"/>
  <c r="P67" i="1"/>
  <c r="P68" i="1"/>
  <c r="G133" i="8"/>
  <c r="H133" i="8" s="1"/>
  <c r="I133" i="8" s="1"/>
  <c r="E134" i="8" s="1"/>
  <c r="K13" i="9" l="1"/>
  <c r="L13" i="9"/>
  <c r="M13" i="9"/>
  <c r="X17" i="9"/>
  <c r="X21" i="9" s="1"/>
  <c r="X26" i="9" s="1"/>
  <c r="X32" i="9" s="1"/>
  <c r="AH65" i="1"/>
  <c r="J21" i="1"/>
  <c r="J20" i="1"/>
  <c r="W70" i="1"/>
  <c r="U70" i="1"/>
  <c r="AF33" i="1"/>
  <c r="R70" i="1"/>
  <c r="S70" i="1"/>
  <c r="V70" i="1"/>
  <c r="T70" i="1"/>
  <c r="Q70" i="1"/>
  <c r="X70" i="1"/>
  <c r="AG65" i="1"/>
  <c r="Y70" i="1"/>
  <c r="AI65" i="1"/>
  <c r="J22" i="1"/>
  <c r="Z70" i="1"/>
  <c r="G134" i="8"/>
  <c r="F134" i="8"/>
  <c r="X31" i="9" l="1"/>
  <c r="X44" i="9"/>
  <c r="X163" i="9" s="1"/>
  <c r="L21" i="9"/>
  <c r="M21" i="9"/>
  <c r="K21" i="9"/>
  <c r="X19" i="9"/>
  <c r="AP67" i="9" s="1"/>
  <c r="M17" i="9"/>
  <c r="P70" i="1"/>
  <c r="H134" i="8"/>
  <c r="I134" i="8" s="1"/>
  <c r="E135" i="8" s="1"/>
  <c r="M19" i="9" l="1"/>
  <c r="X105" i="9"/>
  <c r="X148" i="9"/>
  <c r="X119" i="9"/>
  <c r="X102" i="9"/>
  <c r="X144" i="9"/>
  <c r="X33" i="9"/>
  <c r="J23" i="1"/>
  <c r="AJ65" i="1"/>
  <c r="G135" i="8"/>
  <c r="F135" i="8"/>
  <c r="X149" i="9" l="1"/>
  <c r="K33" i="9"/>
  <c r="X34" i="9"/>
  <c r="X106" i="9"/>
  <c r="X43" i="9"/>
  <c r="X36" i="9"/>
  <c r="H135" i="8"/>
  <c r="I135" i="8" s="1"/>
  <c r="E136" i="8" s="1"/>
  <c r="X116" i="9" l="1"/>
  <c r="X159" i="9"/>
  <c r="X45" i="9"/>
  <c r="X164" i="9" s="1"/>
  <c r="X38" i="9"/>
  <c r="K38" i="9" s="1"/>
  <c r="X37" i="9"/>
  <c r="K36" i="9"/>
  <c r="G136" i="8"/>
  <c r="F136" i="8"/>
  <c r="X46" i="9" l="1"/>
  <c r="X120" i="9"/>
  <c r="K37" i="9"/>
  <c r="X52" i="9"/>
  <c r="X53" i="9"/>
  <c r="X48" i="9"/>
  <c r="H136" i="8"/>
  <c r="I136" i="8" s="1"/>
  <c r="E137" i="8" s="1"/>
  <c r="K53" i="9" l="1"/>
  <c r="L53" i="9"/>
  <c r="L52" i="9"/>
  <c r="AP28" i="9"/>
  <c r="AC15" i="9" s="1"/>
  <c r="AP29" i="9"/>
  <c r="AD29" i="9" s="1"/>
  <c r="M52" i="9"/>
  <c r="X64" i="9"/>
  <c r="X54" i="9"/>
  <c r="AP30" i="9" s="1"/>
  <c r="AC18" i="9" s="1"/>
  <c r="K48" i="9"/>
  <c r="M53" i="9"/>
  <c r="K52" i="9"/>
  <c r="X51" i="9"/>
  <c r="AP27" i="9" s="1"/>
  <c r="G137" i="8"/>
  <c r="F137" i="8"/>
  <c r="AC16" i="9" l="1"/>
  <c r="AC29" i="9"/>
  <c r="AC14" i="9"/>
  <c r="AD30" i="9"/>
  <c r="AE30" i="9"/>
  <c r="AC30" i="9"/>
  <c r="AE28" i="9"/>
  <c r="AD28" i="9"/>
  <c r="AC28" i="9"/>
  <c r="AE29" i="9"/>
  <c r="AE27" i="9"/>
  <c r="AC27" i="9"/>
  <c r="AD27" i="9"/>
  <c r="M64" i="9"/>
  <c r="M68" i="9" s="1"/>
  <c r="X63" i="9"/>
  <c r="M51" i="9"/>
  <c r="M63" i="9" s="1"/>
  <c r="L54" i="9"/>
  <c r="X65" i="9"/>
  <c r="K54" i="9"/>
  <c r="M54" i="9"/>
  <c r="L51" i="9"/>
  <c r="K51" i="9"/>
  <c r="X56" i="9"/>
  <c r="J58" i="9" s="1"/>
  <c r="H137" i="8"/>
  <c r="I137" i="8" s="1"/>
  <c r="E138" i="8" s="1"/>
  <c r="L64" i="9" l="1"/>
  <c r="X73" i="9"/>
  <c r="X72" i="9"/>
  <c r="M65" i="9"/>
  <c r="M69" i="9" s="1"/>
  <c r="G138" i="8"/>
  <c r="F138" i="8"/>
  <c r="M67" i="9" l="1"/>
  <c r="X160" i="9"/>
  <c r="X117" i="9"/>
  <c r="X145" i="9"/>
  <c r="X103" i="9"/>
  <c r="X86" i="9"/>
  <c r="L86" i="9" s="1"/>
  <c r="X85" i="9"/>
  <c r="AP36" i="9" s="1"/>
  <c r="X76" i="9"/>
  <c r="M72" i="9"/>
  <c r="M76" i="9" s="1"/>
  <c r="X77" i="9"/>
  <c r="M73" i="9"/>
  <c r="M77" i="9" s="1"/>
  <c r="L65" i="9"/>
  <c r="L63" i="9" s="1"/>
  <c r="X71" i="9"/>
  <c r="H138" i="8"/>
  <c r="I138" i="8" s="1"/>
  <c r="E139" i="8" s="1"/>
  <c r="AP37" i="9" l="1"/>
  <c r="AD37" i="9" s="1"/>
  <c r="K86" i="9"/>
  <c r="AE36" i="9"/>
  <c r="AD36" i="9"/>
  <c r="AC36" i="9"/>
  <c r="K85" i="9"/>
  <c r="L85" i="9"/>
  <c r="X87" i="9"/>
  <c r="L80" i="9"/>
  <c r="L81" i="9"/>
  <c r="M75" i="9"/>
  <c r="X75" i="9"/>
  <c r="M71" i="9"/>
  <c r="L69" i="9"/>
  <c r="G139" i="8"/>
  <c r="F139" i="8"/>
  <c r="AC37" i="9" l="1"/>
  <c r="AE37" i="9"/>
  <c r="H60" i="9"/>
  <c r="K9" i="9" s="1"/>
  <c r="E33" i="9"/>
  <c r="L87" i="9"/>
  <c r="AP38" i="9"/>
  <c r="M87" i="9"/>
  <c r="K87" i="9"/>
  <c r="L68" i="9"/>
  <c r="L79" i="9"/>
  <c r="L73" i="9"/>
  <c r="L72" i="9"/>
  <c r="H139" i="8"/>
  <c r="I139" i="8" s="1"/>
  <c r="E140" i="8" s="1"/>
  <c r="AE38" i="9" l="1"/>
  <c r="AD38" i="9"/>
  <c r="AC38" i="9"/>
  <c r="L76" i="9"/>
  <c r="L77" i="9"/>
  <c r="L67" i="9"/>
  <c r="G140" i="8"/>
  <c r="F140" i="8"/>
  <c r="L75" i="9" l="1"/>
  <c r="H140" i="8"/>
  <c r="I140" i="8" s="1"/>
  <c r="E141" i="8" s="1"/>
  <c r="G141" i="8" l="1"/>
  <c r="F141" i="8"/>
  <c r="H141" i="8" l="1"/>
  <c r="I141" i="8" s="1"/>
  <c r="E142" i="8" s="1"/>
  <c r="G142" i="8" l="1"/>
  <c r="F142" i="8"/>
  <c r="H142" i="8" l="1"/>
  <c r="I142" i="8" s="1"/>
  <c r="E143" i="8" s="1"/>
  <c r="G143" i="8" l="1"/>
  <c r="F143" i="8"/>
  <c r="H143" i="8" l="1"/>
  <c r="I143" i="8" s="1"/>
  <c r="E144" i="8" s="1"/>
  <c r="G144" i="8" l="1"/>
  <c r="F144" i="8"/>
  <c r="H144" i="8" l="1"/>
  <c r="I144" i="8" s="1"/>
  <c r="E145" i="8" s="1"/>
  <c r="G145" i="8" l="1"/>
  <c r="F145" i="8"/>
  <c r="H145" i="8" l="1"/>
  <c r="I145" i="8" s="1"/>
  <c r="E146" i="8" s="1"/>
  <c r="F146" i="8" l="1"/>
  <c r="G146" i="8"/>
  <c r="H146" i="8" l="1"/>
  <c r="I146" i="8" s="1"/>
  <c r="E147" i="8" s="1"/>
  <c r="F147" i="8" l="1"/>
  <c r="G147" i="8"/>
  <c r="H147" i="8" l="1"/>
  <c r="I147" i="8" s="1"/>
  <c r="E148" i="8" s="1"/>
  <c r="F148" i="8" l="1"/>
  <c r="G148" i="8" l="1"/>
  <c r="H148" i="8" s="1"/>
  <c r="I148" i="8" s="1"/>
  <c r="E149" i="8" l="1"/>
  <c r="F149" i="8" s="1"/>
  <c r="G149" i="8" l="1"/>
  <c r="H149" i="8" s="1"/>
  <c r="I149" i="8" s="1"/>
  <c r="E150" i="8" s="1"/>
  <c r="F150" i="8" s="1"/>
  <c r="G150" i="8" l="1"/>
  <c r="H150" i="8" s="1"/>
  <c r="I150" i="8" s="1"/>
  <c r="E151" i="8" l="1"/>
  <c r="G151" i="8" s="1"/>
  <c r="F151" i="8" l="1"/>
  <c r="H151" i="8" s="1"/>
  <c r="I151" i="8" s="1"/>
  <c r="E152" i="8" s="1"/>
  <c r="F152" i="8" s="1"/>
  <c r="G152" i="8" l="1"/>
  <c r="H152" i="8" s="1"/>
  <c r="I152" i="8" s="1"/>
  <c r="E153" i="8" s="1"/>
  <c r="F153" i="8" l="1"/>
  <c r="G153" i="8"/>
  <c r="H153" i="8" l="1"/>
  <c r="I153" i="8" s="1"/>
  <c r="E154" i="8" s="1"/>
  <c r="F154" i="8" l="1"/>
  <c r="G154" i="8"/>
  <c r="H154" i="8" l="1"/>
  <c r="I154" i="8" s="1"/>
  <c r="E155" i="8" s="1"/>
  <c r="F155" i="8" l="1"/>
  <c r="G155" i="8" l="1"/>
  <c r="H155" i="8" s="1"/>
  <c r="I155" i="8" s="1"/>
  <c r="E156" i="8" l="1"/>
  <c r="G156" i="8" s="1"/>
  <c r="F156" i="8" l="1"/>
  <c r="H156" i="8" s="1"/>
  <c r="I156" i="8" s="1"/>
  <c r="E157" i="8" s="1"/>
  <c r="G157" i="8" s="1"/>
  <c r="F157" i="8" l="1"/>
  <c r="H157" i="8" s="1"/>
  <c r="I157" i="8" s="1"/>
  <c r="E158" i="8" s="1"/>
  <c r="G158" i="8" l="1"/>
  <c r="F158" i="8"/>
  <c r="H158" i="8" l="1"/>
  <c r="I158" i="8" s="1"/>
  <c r="E159" i="8" s="1"/>
  <c r="G159" i="8" l="1"/>
  <c r="F159" i="8"/>
  <c r="H159" i="8" l="1"/>
  <c r="I159" i="8" s="1"/>
  <c r="E160" i="8" s="1"/>
  <c r="G160" i="8" l="1"/>
  <c r="F160" i="8"/>
  <c r="H160" i="8" l="1"/>
  <c r="I160" i="8" s="1"/>
  <c r="E161" i="8" s="1"/>
  <c r="G161" i="8" l="1"/>
  <c r="F161" i="8"/>
  <c r="H161" i="8" l="1"/>
  <c r="I161" i="8" s="1"/>
  <c r="E162" i="8" s="1"/>
  <c r="G162" i="8" l="1"/>
  <c r="F162" i="8"/>
  <c r="H162" i="8" l="1"/>
  <c r="I162" i="8" s="1"/>
  <c r="E163" i="8" s="1"/>
  <c r="G163" i="8" l="1"/>
  <c r="F163" i="8"/>
  <c r="H163" i="8" l="1"/>
  <c r="I163" i="8" s="1"/>
  <c r="E164" i="8" s="1"/>
  <c r="F164" i="8" l="1"/>
  <c r="G164" i="8"/>
  <c r="H164" i="8" l="1"/>
  <c r="I164" i="8" s="1"/>
  <c r="E165" i="8" s="1"/>
  <c r="F165" i="8" l="1"/>
  <c r="G165" i="8"/>
  <c r="H165" i="8" l="1"/>
  <c r="I165" i="8" s="1"/>
  <c r="E166" i="8" s="1"/>
  <c r="F166" i="8" l="1"/>
  <c r="G166" i="8"/>
  <c r="H166" i="8" l="1"/>
  <c r="I166" i="8" s="1"/>
  <c r="E167" i="8" s="1"/>
  <c r="G167" i="8" l="1"/>
  <c r="F167" i="8"/>
  <c r="H167" i="8" l="1"/>
  <c r="I167" i="8" s="1"/>
  <c r="E168" i="8" s="1"/>
  <c r="G168" i="8" l="1"/>
  <c r="F168" i="8"/>
  <c r="H168" i="8" l="1"/>
  <c r="I168" i="8" s="1"/>
  <c r="E169" i="8" s="1"/>
  <c r="G169" i="8" l="1"/>
  <c r="F169" i="8"/>
  <c r="H169" i="8" l="1"/>
  <c r="I169" i="8" s="1"/>
  <c r="E170" i="8" s="1"/>
  <c r="G170" i="8" l="1"/>
  <c r="F170" i="8"/>
  <c r="H170" i="8" l="1"/>
  <c r="I170" i="8" s="1"/>
  <c r="E171" i="8" s="1"/>
  <c r="F171" i="8" l="1"/>
  <c r="G171" i="8"/>
  <c r="H171" i="8" l="1"/>
  <c r="I171" i="8" s="1"/>
  <c r="E172" i="8" s="1"/>
  <c r="F172" i="8" l="1"/>
  <c r="G172" i="8"/>
  <c r="H172" i="8" l="1"/>
  <c r="I172" i="8" s="1"/>
  <c r="E173" i="8" s="1"/>
  <c r="F173" i="8" l="1"/>
  <c r="G173" i="8"/>
  <c r="H173" i="8" l="1"/>
  <c r="I173" i="8" s="1"/>
  <c r="E174" i="8" s="1"/>
  <c r="F174" i="8" l="1"/>
  <c r="G174" i="8"/>
  <c r="H174" i="8" l="1"/>
  <c r="I174" i="8" s="1"/>
  <c r="E175" i="8" s="1"/>
  <c r="F175" i="8" l="1"/>
  <c r="G175" i="8"/>
  <c r="H175" i="8" l="1"/>
  <c r="I175" i="8" s="1"/>
  <c r="E176" i="8" s="1"/>
  <c r="F176" i="8" l="1"/>
  <c r="G176" i="8"/>
  <c r="H176" i="8" l="1"/>
  <c r="I176" i="8" s="1"/>
  <c r="E177" i="8" s="1"/>
  <c r="F177" i="8" l="1"/>
  <c r="G177" i="8"/>
  <c r="H177" i="8" l="1"/>
  <c r="I177" i="8" s="1"/>
  <c r="E178" i="8" s="1"/>
  <c r="G178" i="8" l="1"/>
  <c r="F178" i="8"/>
  <c r="H178" i="8" l="1"/>
  <c r="I178" i="8" s="1"/>
  <c r="E179" i="8" s="1"/>
  <c r="G179" i="8" l="1"/>
  <c r="F179" i="8"/>
  <c r="H179" i="8" l="1"/>
  <c r="I179" i="8" s="1"/>
  <c r="E180" i="8" s="1"/>
  <c r="G180" i="8" l="1"/>
  <c r="F180" i="8"/>
  <c r="H180" i="8" l="1"/>
  <c r="I180" i="8" s="1"/>
  <c r="E181" i="8" s="1"/>
  <c r="G181" i="8" l="1"/>
  <c r="F181" i="8"/>
  <c r="H181" i="8" l="1"/>
  <c r="I181" i="8" s="1"/>
  <c r="E182" i="8" s="1"/>
  <c r="G182" i="8" l="1"/>
  <c r="F182" i="8"/>
  <c r="H182" i="8" l="1"/>
  <c r="I182" i="8" s="1"/>
  <c r="E183" i="8" s="1"/>
  <c r="G183" i="8" l="1"/>
  <c r="F183" i="8"/>
  <c r="H183" i="8" l="1"/>
  <c r="I183" i="8" s="1"/>
  <c r="E184" i="8" s="1"/>
  <c r="G184" i="8" l="1"/>
  <c r="F184" i="8"/>
  <c r="H184" i="8" l="1"/>
  <c r="I184" i="8" s="1"/>
  <c r="E185" i="8" s="1"/>
  <c r="G185" i="8" l="1"/>
  <c r="F185" i="8"/>
  <c r="H185" i="8" l="1"/>
  <c r="I185" i="8" s="1"/>
  <c r="E186" i="8" s="1"/>
  <c r="F186" i="8" l="1"/>
  <c r="G186" i="8"/>
  <c r="H186" i="8" l="1"/>
  <c r="I186" i="8" s="1"/>
  <c r="E187" i="8" s="1"/>
  <c r="G187" i="8" l="1"/>
  <c r="F187" i="8"/>
  <c r="H187" i="8" l="1"/>
  <c r="I187" i="8" s="1"/>
  <c r="E188" i="8" s="1"/>
  <c r="G188" i="8" l="1"/>
  <c r="F188" i="8"/>
  <c r="H188" i="8" l="1"/>
  <c r="I188" i="8" s="1"/>
  <c r="E189" i="8" s="1"/>
  <c r="F189" i="8" l="1"/>
  <c r="G189" i="8"/>
  <c r="H189" i="8" l="1"/>
  <c r="I189" i="8" s="1"/>
  <c r="E190" i="8" s="1"/>
  <c r="F190" i="8" l="1"/>
  <c r="G190" i="8"/>
  <c r="H190" i="8" l="1"/>
  <c r="I190" i="8" s="1"/>
  <c r="E191" i="8" s="1"/>
  <c r="F191" i="8" l="1"/>
  <c r="G191" i="8"/>
  <c r="H191" i="8" l="1"/>
  <c r="I191" i="8" s="1"/>
  <c r="E192" i="8" s="1"/>
  <c r="F192" i="8" l="1"/>
  <c r="G192" i="8"/>
  <c r="H192" i="8" l="1"/>
  <c r="I192" i="8" s="1"/>
  <c r="E193" i="8" s="1"/>
  <c r="F193" i="8" l="1"/>
  <c r="G193" i="8"/>
  <c r="H193" i="8" l="1"/>
  <c r="I193" i="8" s="1"/>
  <c r="E194" i="8" s="1"/>
  <c r="F194" i="8" l="1"/>
  <c r="G194" i="8"/>
  <c r="H194" i="8" l="1"/>
  <c r="I194" i="8" s="1"/>
  <c r="E195" i="8" s="1"/>
  <c r="F195" i="8" l="1"/>
  <c r="G195" i="8"/>
  <c r="H195" i="8" l="1"/>
  <c r="I195" i="8" s="1"/>
  <c r="E196" i="8" s="1"/>
  <c r="F196" i="8" l="1"/>
  <c r="G196" i="8"/>
  <c r="H196" i="8" l="1"/>
  <c r="I196" i="8" s="1"/>
  <c r="E197" i="8" s="1"/>
  <c r="F197" i="8" l="1"/>
  <c r="G197" i="8"/>
  <c r="H197" i="8" l="1"/>
  <c r="I197" i="8" s="1"/>
  <c r="E198" i="8" s="1"/>
  <c r="G198" i="8" l="1"/>
  <c r="F198" i="8"/>
  <c r="H198" i="8" l="1"/>
  <c r="I198" i="8" s="1"/>
  <c r="E199" i="8" s="1"/>
  <c r="G199" i="8" l="1"/>
  <c r="F199" i="8"/>
  <c r="H199" i="8" l="1"/>
  <c r="I199" i="8" s="1"/>
  <c r="E200" i="8" s="1"/>
  <c r="F200" i="8" l="1"/>
  <c r="G200" i="8"/>
  <c r="H200" i="8" l="1"/>
  <c r="I200" i="8" s="1"/>
  <c r="E201" i="8" s="1"/>
  <c r="F201" i="8" l="1"/>
  <c r="G201" i="8"/>
  <c r="H201" i="8" l="1"/>
  <c r="I201" i="8" s="1"/>
  <c r="E202" i="8" s="1"/>
  <c r="G202" i="8" l="1"/>
  <c r="F202" i="8"/>
  <c r="H202" i="8" l="1"/>
  <c r="I202" i="8" s="1"/>
  <c r="E203" i="8" s="1"/>
  <c r="G203" i="8" l="1"/>
  <c r="F203" i="8"/>
  <c r="H203" i="8" l="1"/>
  <c r="I203" i="8" s="1"/>
  <c r="E204" i="8" s="1"/>
  <c r="G204" i="8" l="1"/>
  <c r="F204" i="8"/>
  <c r="H204" i="8" l="1"/>
  <c r="I204" i="8" s="1"/>
  <c r="E205" i="8" s="1"/>
  <c r="G205" i="8" l="1"/>
  <c r="F205" i="8"/>
  <c r="H205" i="8" l="1"/>
  <c r="I205" i="8" s="1"/>
  <c r="E206" i="8" s="1"/>
  <c r="G206" i="8" l="1"/>
  <c r="F206" i="8"/>
  <c r="H206" i="8" l="1"/>
  <c r="I206" i="8" s="1"/>
  <c r="E207" i="8" s="1"/>
  <c r="G207" i="8" l="1"/>
  <c r="F207" i="8"/>
  <c r="H207" i="8" l="1"/>
  <c r="I207" i="8" s="1"/>
  <c r="E208" i="8" s="1"/>
  <c r="G208" i="8" l="1"/>
  <c r="F208" i="8"/>
  <c r="H208" i="8" l="1"/>
  <c r="I208" i="8" s="1"/>
  <c r="E209" i="8" s="1"/>
  <c r="G209" i="8" l="1"/>
  <c r="F209" i="8"/>
  <c r="H209" i="8" l="1"/>
  <c r="I209" i="8" s="1"/>
  <c r="E210" i="8" s="1"/>
  <c r="F210" i="8" l="1"/>
  <c r="G210" i="8"/>
  <c r="H210" i="8" l="1"/>
  <c r="I210" i="8" s="1"/>
  <c r="E211" i="8" s="1"/>
  <c r="F211" i="8" l="1"/>
  <c r="G211" i="8"/>
  <c r="H211" i="8" l="1"/>
  <c r="I211" i="8" s="1"/>
  <c r="E212" i="8" s="1"/>
  <c r="F212" i="8" l="1"/>
  <c r="G212" i="8"/>
  <c r="H212" i="8" l="1"/>
  <c r="I212" i="8" s="1"/>
  <c r="E213" i="8" s="1"/>
  <c r="F213" i="8" l="1"/>
  <c r="G213" i="8"/>
  <c r="H213" i="8" l="1"/>
  <c r="I213" i="8" s="1"/>
  <c r="E214" i="8" s="1"/>
  <c r="F214" i="8" l="1"/>
  <c r="G214" i="8"/>
  <c r="H214" i="8" l="1"/>
  <c r="I214" i="8" s="1"/>
  <c r="E215" i="8" s="1"/>
  <c r="F215" i="8" l="1"/>
  <c r="G215" i="8"/>
  <c r="H215" i="8" l="1"/>
  <c r="I215" i="8" s="1"/>
  <c r="E216" i="8" s="1"/>
  <c r="F216" i="8" l="1"/>
  <c r="G216" i="8"/>
  <c r="H216" i="8" l="1"/>
  <c r="I216" i="8" s="1"/>
  <c r="E217" i="8" s="1"/>
  <c r="F217" i="8" l="1"/>
  <c r="G217" i="8"/>
  <c r="H217" i="8" l="1"/>
  <c r="I217" i="8" s="1"/>
  <c r="E218" i="8" s="1"/>
  <c r="G218" i="8" l="1"/>
  <c r="F218" i="8"/>
  <c r="H218" i="8" l="1"/>
  <c r="I218" i="8" s="1"/>
  <c r="E219" i="8" s="1"/>
  <c r="G219" i="8" l="1"/>
  <c r="F219" i="8"/>
  <c r="H219" i="8" l="1"/>
  <c r="I219" i="8" s="1"/>
  <c r="E220" i="8" s="1"/>
  <c r="G220" i="8" l="1"/>
  <c r="F220" i="8"/>
  <c r="H220" i="8" l="1"/>
  <c r="I220" i="8" s="1"/>
  <c r="E221" i="8" s="1"/>
  <c r="G221" i="8" l="1"/>
  <c r="F221" i="8"/>
  <c r="H221" i="8" l="1"/>
  <c r="I221" i="8" s="1"/>
  <c r="E222" i="8" s="1"/>
  <c r="G222" i="8" l="1"/>
  <c r="F222" i="8"/>
  <c r="H222" i="8" l="1"/>
  <c r="I222" i="8" s="1"/>
  <c r="E223" i="8" s="1"/>
  <c r="G223" i="8" l="1"/>
  <c r="F223" i="8"/>
  <c r="H223" i="8" l="1"/>
  <c r="I223" i="8" s="1"/>
  <c r="E224" i="8" s="1"/>
  <c r="F224" i="8" l="1"/>
  <c r="G224" i="8"/>
  <c r="H224" i="8" l="1"/>
  <c r="I224" i="8" s="1"/>
  <c r="E225" i="8" s="1"/>
  <c r="F225" i="8" l="1"/>
  <c r="G225" i="8"/>
  <c r="H225" i="8" l="1"/>
  <c r="I225" i="8" s="1"/>
  <c r="E226" i="8" s="1"/>
  <c r="F226" i="8" l="1"/>
  <c r="G226" i="8"/>
  <c r="H226" i="8" l="1"/>
  <c r="I226" i="8" s="1"/>
  <c r="E227" i="8" s="1"/>
  <c r="F227" i="8" l="1"/>
  <c r="G227" i="8"/>
  <c r="H227" i="8" l="1"/>
  <c r="I227" i="8" s="1"/>
  <c r="E228" i="8" s="1"/>
  <c r="F228" i="8" l="1"/>
  <c r="G228" i="8"/>
  <c r="H228" i="8" l="1"/>
  <c r="I228" i="8" s="1"/>
  <c r="E229" i="8" s="1"/>
  <c r="F229" i="8" l="1"/>
  <c r="G229" i="8" l="1"/>
  <c r="H229" i="8" s="1"/>
  <c r="I229" i="8" s="1"/>
  <c r="E230" i="8" l="1"/>
  <c r="G230" i="8" s="1"/>
  <c r="F230" i="8" l="1"/>
  <c r="H230" i="8" s="1"/>
  <c r="I230" i="8" s="1"/>
  <c r="E231" i="8" s="1"/>
  <c r="F231" i="8" s="1"/>
  <c r="G231" i="8" l="1"/>
  <c r="H231" i="8" s="1"/>
  <c r="I231" i="8" s="1"/>
  <c r="E232" i="8" s="1"/>
  <c r="F232" i="8" l="1"/>
  <c r="G232" i="8"/>
  <c r="H232" i="8" l="1"/>
  <c r="I232" i="8" s="1"/>
  <c r="E233" i="8" s="1"/>
  <c r="F233" i="8" l="1"/>
  <c r="G233" i="8" l="1"/>
  <c r="H233" i="8" s="1"/>
  <c r="I233" i="8" s="1"/>
  <c r="E234" i="8" s="1"/>
  <c r="F234" i="8" l="1"/>
  <c r="G234" i="8" l="1"/>
  <c r="H234" i="8" s="1"/>
  <c r="I234" i="8" s="1"/>
  <c r="E235" i="8" s="1"/>
  <c r="G235" i="8" l="1"/>
  <c r="F235" i="8"/>
  <c r="H235" i="8" l="1"/>
  <c r="I235" i="8" s="1"/>
  <c r="E236" i="8" l="1"/>
  <c r="F236" i="8" s="1"/>
  <c r="G236" i="8" l="1"/>
  <c r="H236" i="8" s="1"/>
  <c r="I236" i="8" s="1"/>
  <c r="E237" i="8" l="1"/>
  <c r="F237" i="8" s="1"/>
  <c r="G237" i="8" l="1"/>
  <c r="H237" i="8" s="1"/>
  <c r="I237" i="8" s="1"/>
  <c r="E238" i="8" s="1"/>
  <c r="F238" i="8" l="1"/>
  <c r="G238" i="8"/>
  <c r="H238" i="8" l="1"/>
  <c r="I238" i="8" s="1"/>
  <c r="E239" i="8" s="1"/>
  <c r="F239" i="8" s="1"/>
  <c r="G239" i="8" l="1"/>
  <c r="H239" i="8" s="1"/>
  <c r="I239" i="8" s="1"/>
  <c r="E240" i="8" s="1"/>
  <c r="G240" i="8" l="1"/>
  <c r="F240" i="8"/>
  <c r="H240" i="8" l="1"/>
  <c r="I240" i="8" s="1"/>
  <c r="E241" i="8" s="1"/>
  <c r="G241" i="8" s="1"/>
  <c r="F241" i="8" l="1"/>
  <c r="H241" i="8" s="1"/>
  <c r="I241" i="8" s="1"/>
  <c r="E242" i="8" s="1"/>
  <c r="F242" i="8" l="1"/>
  <c r="G242" i="8"/>
  <c r="H242" i="8" l="1"/>
  <c r="I242" i="8" s="1"/>
  <c r="E243" i="8" s="1"/>
  <c r="F243" i="8" l="1"/>
  <c r="G243" i="8"/>
  <c r="H243" i="8" l="1"/>
  <c r="I243" i="8" s="1"/>
  <c r="E244" i="8" s="1"/>
  <c r="F244" i="8" l="1"/>
  <c r="G244" i="8"/>
  <c r="H244" i="8" l="1"/>
  <c r="I244" i="8" s="1"/>
  <c r="E245" i="8" s="1"/>
  <c r="F245" i="8" l="1"/>
  <c r="G245" i="8"/>
  <c r="H245" i="8" l="1"/>
  <c r="I245" i="8" s="1"/>
  <c r="E246" i="8" s="1"/>
  <c r="F246" i="8" l="1"/>
  <c r="G246" i="8"/>
  <c r="H246" i="8" l="1"/>
  <c r="I246" i="8" s="1"/>
  <c r="E247" i="8" s="1"/>
  <c r="F247" i="8" l="1"/>
  <c r="G247" i="8"/>
  <c r="H247" i="8" l="1"/>
  <c r="I247" i="8" s="1"/>
  <c r="E248" i="8" s="1"/>
  <c r="F248" i="8" l="1"/>
  <c r="G248" i="8"/>
  <c r="H248" i="8" l="1"/>
  <c r="I248" i="8" s="1"/>
  <c r="E249" i="8" s="1"/>
  <c r="F249" i="8" l="1"/>
  <c r="G249" i="8"/>
  <c r="H249" i="8" l="1"/>
  <c r="I249" i="8" s="1"/>
  <c r="E250" i="8" s="1"/>
  <c r="F250" i="8" l="1"/>
  <c r="G250" i="8"/>
  <c r="H250" i="8" l="1"/>
  <c r="I250" i="8" s="1"/>
  <c r="E251" i="8" s="1"/>
  <c r="F251" i="8" l="1"/>
  <c r="G251" i="8"/>
  <c r="H251" i="8" l="1"/>
  <c r="I251" i="8" s="1"/>
  <c r="E252" i="8" s="1"/>
  <c r="F252" i="8" l="1"/>
  <c r="G252" i="8"/>
  <c r="H252" i="8" l="1"/>
  <c r="I252" i="8" s="1"/>
  <c r="E253" i="8" s="1"/>
  <c r="F253" i="8" l="1"/>
  <c r="G253" i="8"/>
  <c r="H253" i="8" l="1"/>
  <c r="I253" i="8" s="1"/>
  <c r="E254" i="8" s="1"/>
  <c r="F254" i="8" l="1"/>
  <c r="G254" i="8"/>
  <c r="H254" i="8" l="1"/>
  <c r="I254" i="8" s="1"/>
  <c r="E255" i="8" s="1"/>
  <c r="F255" i="8" l="1"/>
  <c r="G255" i="8"/>
  <c r="H255" i="8" l="1"/>
  <c r="I255" i="8" s="1"/>
  <c r="E256" i="8" s="1"/>
  <c r="F256" i="8" l="1"/>
  <c r="G256" i="8"/>
  <c r="H256" i="8" l="1"/>
  <c r="I256" i="8" s="1"/>
  <c r="E257" i="8" s="1"/>
  <c r="G257" i="8" l="1"/>
  <c r="F257" i="8"/>
  <c r="H257" i="8" l="1"/>
  <c r="I257" i="8" s="1"/>
  <c r="E258" i="8" s="1"/>
  <c r="G258" i="8" l="1"/>
  <c r="F258" i="8"/>
  <c r="H258" i="8" l="1"/>
  <c r="I258" i="8" s="1"/>
  <c r="E259" i="8" s="1"/>
  <c r="G259" i="8" l="1"/>
  <c r="F259" i="8"/>
  <c r="H259" i="8" l="1"/>
  <c r="I259" i="8" s="1"/>
  <c r="E260" i="8" s="1"/>
  <c r="G260" i="8" l="1"/>
  <c r="F260" i="8"/>
  <c r="H260" i="8" l="1"/>
  <c r="I260" i="8" s="1"/>
  <c r="E261" i="8" s="1"/>
  <c r="F261" i="8" l="1"/>
  <c r="G261" i="8"/>
  <c r="H261" i="8" l="1"/>
  <c r="I261" i="8" s="1"/>
  <c r="E262" i="8" s="1"/>
  <c r="F262" i="8" l="1"/>
  <c r="G262" i="8"/>
  <c r="H262" i="8" l="1"/>
  <c r="I262" i="8" s="1"/>
  <c r="E263" i="8" s="1"/>
  <c r="F263" i="8" l="1"/>
  <c r="G263" i="8"/>
  <c r="H263" i="8" l="1"/>
  <c r="I263" i="8" s="1"/>
  <c r="E264" i="8" s="1"/>
  <c r="F264" i="8" l="1"/>
  <c r="G264" i="8"/>
  <c r="H264" i="8" l="1"/>
  <c r="I264" i="8" s="1"/>
  <c r="E265" i="8" s="1"/>
  <c r="F265" i="8" l="1"/>
  <c r="G265" i="8"/>
  <c r="H265" i="8" l="1"/>
  <c r="I265" i="8" s="1"/>
  <c r="E266" i="8" s="1"/>
  <c r="F266" i="8" l="1"/>
  <c r="G266" i="8"/>
  <c r="H266" i="8" l="1"/>
  <c r="I266" i="8" s="1"/>
  <c r="E267" i="8" s="1"/>
  <c r="F267" i="8" l="1"/>
  <c r="G267" i="8"/>
  <c r="H267" i="8" l="1"/>
  <c r="I267" i="8" s="1"/>
  <c r="E268" i="8" s="1"/>
  <c r="F268" i="8" l="1"/>
  <c r="G268" i="8"/>
  <c r="H268" i="8" l="1"/>
  <c r="I268" i="8" s="1"/>
  <c r="E269" i="8" s="1"/>
  <c r="F269" i="8" l="1"/>
  <c r="G269" i="8"/>
  <c r="H269" i="8" l="1"/>
  <c r="I269" i="8" s="1"/>
  <c r="E270" i="8" s="1"/>
  <c r="F270" i="8" l="1"/>
  <c r="G270" i="8"/>
  <c r="H270" i="8" l="1"/>
  <c r="I270" i="8" s="1"/>
  <c r="E271" i="8" s="1"/>
  <c r="F271" i="8" l="1"/>
  <c r="G271" i="8"/>
  <c r="H271" i="8" l="1"/>
  <c r="I271" i="8" s="1"/>
  <c r="E272" i="8" s="1"/>
  <c r="F272" i="8" l="1"/>
  <c r="G272" i="8"/>
  <c r="H272" i="8" l="1"/>
  <c r="I272" i="8" s="1"/>
  <c r="E273" i="8" s="1"/>
  <c r="G273" i="8" l="1"/>
  <c r="F273" i="8"/>
  <c r="H273" i="8" l="1"/>
  <c r="I273" i="8" s="1"/>
  <c r="E274" i="8" s="1"/>
  <c r="G274" i="8" l="1"/>
  <c r="F274" i="8"/>
  <c r="H274" i="8" l="1"/>
  <c r="I274" i="8" s="1"/>
  <c r="E275" i="8" s="1"/>
  <c r="F275" i="8" l="1"/>
  <c r="G275" i="8"/>
  <c r="H275" i="8" l="1"/>
  <c r="I275" i="8" s="1"/>
  <c r="E276" i="8" s="1"/>
  <c r="G276" i="8" l="1"/>
  <c r="F276" i="8"/>
  <c r="H276" i="8" l="1"/>
  <c r="I276" i="8" s="1"/>
  <c r="E277" i="8" s="1"/>
  <c r="G277" i="8" l="1"/>
  <c r="F277" i="8"/>
  <c r="H277" i="8" l="1"/>
  <c r="I277" i="8" s="1"/>
  <c r="E278" i="8" s="1"/>
  <c r="G278" i="8" l="1"/>
  <c r="F278" i="8"/>
  <c r="H278" i="8" l="1"/>
  <c r="I278" i="8" s="1"/>
  <c r="E279" i="8" s="1"/>
  <c r="G279" i="8" l="1"/>
  <c r="F279" i="8"/>
  <c r="H279" i="8" l="1"/>
  <c r="I279" i="8" s="1"/>
  <c r="E280" i="8" s="1"/>
  <c r="G280" i="8" l="1"/>
  <c r="F280" i="8"/>
  <c r="H280" i="8" l="1"/>
  <c r="I280" i="8" s="1"/>
  <c r="E281" i="8" s="1"/>
  <c r="G281" i="8" l="1"/>
  <c r="F281" i="8"/>
  <c r="H281" i="8" l="1"/>
  <c r="I281" i="8" s="1"/>
  <c r="E282" i="8" s="1"/>
  <c r="G282" i="8" l="1"/>
  <c r="F282" i="8"/>
  <c r="H282" i="8" l="1"/>
  <c r="I282" i="8" s="1"/>
  <c r="E283" i="8" s="1"/>
  <c r="G283" i="8" l="1"/>
  <c r="F283" i="8"/>
  <c r="H283" i="8" l="1"/>
  <c r="I283" i="8" s="1"/>
  <c r="E284" i="8" s="1"/>
  <c r="F284" i="8" l="1"/>
  <c r="G284" i="8"/>
  <c r="H284" i="8" l="1"/>
  <c r="I284" i="8" s="1"/>
  <c r="E285" i="8" s="1"/>
  <c r="F285" i="8" l="1"/>
  <c r="G285" i="8"/>
  <c r="H285" i="8" l="1"/>
  <c r="I285" i="8" s="1"/>
  <c r="E286" i="8" s="1"/>
  <c r="F286" i="8" l="1"/>
  <c r="G286" i="8"/>
  <c r="H286" i="8" l="1"/>
  <c r="I286" i="8" s="1"/>
  <c r="E287" i="8" s="1"/>
  <c r="F287" i="8" l="1"/>
  <c r="G287" i="8"/>
  <c r="H287" i="8" l="1"/>
  <c r="I287" i="8" s="1"/>
  <c r="E288" i="8" s="1"/>
  <c r="F288" i="8" l="1"/>
  <c r="G288" i="8"/>
  <c r="H288" i="8" l="1"/>
  <c r="I288" i="8" s="1"/>
  <c r="E289" i="8" s="1"/>
  <c r="F289" i="8" l="1"/>
  <c r="G289" i="8"/>
  <c r="H289" i="8" l="1"/>
  <c r="I289" i="8" s="1"/>
  <c r="E290" i="8" s="1"/>
  <c r="F290" i="8" l="1"/>
  <c r="G290" i="8"/>
  <c r="H290" i="8" l="1"/>
  <c r="I290" i="8" s="1"/>
  <c r="E291" i="8" s="1"/>
  <c r="F291" i="8" l="1"/>
  <c r="G291" i="8"/>
  <c r="H291" i="8" l="1"/>
  <c r="I291" i="8" s="1"/>
  <c r="E292" i="8" s="1"/>
  <c r="F292" i="8" l="1"/>
  <c r="G292" i="8"/>
  <c r="H292" i="8" l="1"/>
  <c r="I292" i="8" s="1"/>
  <c r="E293" i="8" s="1"/>
  <c r="F293" i="8" l="1"/>
  <c r="G293" i="8"/>
  <c r="H293" i="8" l="1"/>
  <c r="I293" i="8" s="1"/>
  <c r="E294" i="8" s="1"/>
  <c r="F294" i="8" l="1"/>
  <c r="G294" i="8"/>
  <c r="H294" i="8" l="1"/>
  <c r="I294" i="8" s="1"/>
  <c r="E295" i="8" s="1"/>
  <c r="F295" i="8" l="1"/>
  <c r="G295" i="8"/>
  <c r="H295" i="8" l="1"/>
  <c r="I295" i="8" s="1"/>
  <c r="E296" i="8" s="1"/>
  <c r="F296" i="8" l="1"/>
  <c r="G296" i="8"/>
  <c r="H296" i="8" l="1"/>
  <c r="I296" i="8" s="1"/>
  <c r="E297" i="8" s="1"/>
  <c r="F297" i="8" l="1"/>
  <c r="G297" i="8"/>
  <c r="H297" i="8" l="1"/>
  <c r="I297" i="8" s="1"/>
  <c r="E298" i="8" s="1"/>
  <c r="F298" i="8" l="1"/>
  <c r="G298" i="8"/>
  <c r="H298" i="8" l="1"/>
  <c r="I298" i="8" s="1"/>
  <c r="E299" i="8" s="1"/>
  <c r="F299" i="8" l="1"/>
  <c r="G299" i="8"/>
  <c r="H299" i="8" l="1"/>
  <c r="I299" i="8" s="1"/>
  <c r="E300" i="8" s="1"/>
  <c r="F300" i="8" l="1"/>
  <c r="G300" i="8"/>
  <c r="H300" i="8" l="1"/>
  <c r="I300" i="8" s="1"/>
  <c r="E301" i="8" s="1"/>
  <c r="F301" i="8" l="1"/>
  <c r="G301" i="8"/>
  <c r="H301" i="8" l="1"/>
  <c r="I301" i="8" s="1"/>
  <c r="E302" i="8" s="1"/>
  <c r="F302" i="8" l="1"/>
  <c r="G302" i="8"/>
  <c r="H302" i="8" l="1"/>
  <c r="I302" i="8" s="1"/>
  <c r="E303" i="8" s="1"/>
  <c r="F303" i="8" l="1"/>
  <c r="G303" i="8"/>
  <c r="H303" i="8" l="1"/>
  <c r="I303" i="8" s="1"/>
  <c r="E304" i="8" s="1"/>
  <c r="F304" i="8" l="1"/>
  <c r="G304" i="8"/>
  <c r="H304" i="8" l="1"/>
  <c r="I304" i="8" s="1"/>
  <c r="E305" i="8" s="1"/>
  <c r="F305" i="8" l="1"/>
  <c r="G305" i="8"/>
  <c r="H305" i="8" l="1"/>
  <c r="I305" i="8" s="1"/>
  <c r="E306" i="8" s="1"/>
  <c r="F306" i="8" l="1"/>
  <c r="G306" i="8"/>
  <c r="H306" i="8" l="1"/>
  <c r="I306" i="8" s="1"/>
  <c r="E307" i="8" s="1"/>
  <c r="F307" i="8" l="1"/>
  <c r="G307" i="8"/>
  <c r="H307" i="8" l="1"/>
  <c r="I307" i="8" s="1"/>
  <c r="E308" i="8" s="1"/>
  <c r="F308" i="8" l="1"/>
  <c r="G308" i="8"/>
  <c r="H308" i="8" l="1"/>
  <c r="I308" i="8" s="1"/>
  <c r="E309" i="8" s="1"/>
  <c r="F309" i="8" l="1"/>
  <c r="G309" i="8"/>
  <c r="H309" i="8" l="1"/>
  <c r="I309" i="8" s="1"/>
  <c r="E310" i="8" s="1"/>
  <c r="F310" i="8" l="1"/>
  <c r="G310" i="8"/>
  <c r="H310" i="8" l="1"/>
  <c r="I310" i="8" s="1"/>
  <c r="E311" i="8" s="1"/>
  <c r="F311" i="8" l="1"/>
  <c r="G311" i="8"/>
  <c r="H311" i="8" l="1"/>
  <c r="I311" i="8" s="1"/>
  <c r="E312" i="8" s="1"/>
  <c r="F312" i="8" l="1"/>
  <c r="G312" i="8"/>
  <c r="H312" i="8" l="1"/>
  <c r="I312" i="8" s="1"/>
  <c r="E313" i="8" s="1"/>
  <c r="F313" i="8" l="1"/>
  <c r="G313" i="8"/>
  <c r="H313" i="8" l="1"/>
  <c r="I313" i="8" s="1"/>
  <c r="E314" i="8" s="1"/>
  <c r="F314" i="8" l="1"/>
  <c r="G314" i="8"/>
  <c r="H314" i="8" l="1"/>
  <c r="I314" i="8" s="1"/>
  <c r="E315" i="8" s="1"/>
  <c r="F315" i="8" l="1"/>
  <c r="G315" i="8"/>
  <c r="H315" i="8" l="1"/>
  <c r="I315" i="8" s="1"/>
  <c r="E316" i="8" s="1"/>
  <c r="F316" i="8" l="1"/>
  <c r="G316" i="8"/>
  <c r="H316" i="8" l="1"/>
  <c r="I316" i="8" s="1"/>
  <c r="E317" i="8" s="1"/>
  <c r="F317" i="8" l="1"/>
  <c r="G317" i="8"/>
  <c r="H317" i="8" l="1"/>
  <c r="I317" i="8" s="1"/>
  <c r="E318" i="8" s="1"/>
  <c r="F318" i="8" l="1"/>
  <c r="G318" i="8"/>
  <c r="H318" i="8" l="1"/>
  <c r="I318" i="8" s="1"/>
  <c r="E319" i="8" s="1"/>
  <c r="F319" i="8" l="1"/>
  <c r="G319" i="8"/>
  <c r="H319" i="8" l="1"/>
  <c r="I319" i="8" s="1"/>
  <c r="E320" i="8" s="1"/>
  <c r="F320" i="8" l="1"/>
  <c r="G320" i="8"/>
  <c r="H320" i="8" l="1"/>
  <c r="I320" i="8" s="1"/>
  <c r="E321" i="8" s="1"/>
  <c r="F321" i="8" l="1"/>
  <c r="G321" i="8"/>
  <c r="H321" i="8" l="1"/>
  <c r="I321" i="8" s="1"/>
  <c r="E322" i="8" s="1"/>
  <c r="F322" i="8" l="1"/>
  <c r="G322" i="8"/>
  <c r="H322" i="8" l="1"/>
  <c r="I322" i="8" s="1"/>
  <c r="E323" i="8" s="1"/>
  <c r="F323" i="8" l="1"/>
  <c r="G323" i="8"/>
  <c r="H323" i="8" l="1"/>
  <c r="I323" i="8" s="1"/>
  <c r="E324" i="8" s="1"/>
  <c r="F324" i="8" l="1"/>
  <c r="G324" i="8"/>
  <c r="H324" i="8" l="1"/>
  <c r="I324" i="8" s="1"/>
  <c r="E325" i="8" s="1"/>
  <c r="F325" i="8" l="1"/>
  <c r="G325" i="8"/>
  <c r="H325" i="8" l="1"/>
  <c r="I325" i="8" s="1"/>
  <c r="E326" i="8" s="1"/>
  <c r="F326" i="8" l="1"/>
  <c r="G326" i="8"/>
  <c r="H326" i="8" l="1"/>
  <c r="I326" i="8" s="1"/>
  <c r="E327" i="8" s="1"/>
  <c r="F327" i="8" l="1"/>
  <c r="G327" i="8"/>
  <c r="H327" i="8" l="1"/>
  <c r="I327" i="8" s="1"/>
  <c r="E328" i="8" s="1"/>
  <c r="F328" i="8" l="1"/>
  <c r="G328" i="8"/>
  <c r="H328" i="8" l="1"/>
  <c r="I328" i="8" s="1"/>
  <c r="E329" i="8" s="1"/>
  <c r="F329" i="8" l="1"/>
  <c r="G329" i="8"/>
  <c r="H329" i="8" l="1"/>
  <c r="I329" i="8" s="1"/>
  <c r="E330" i="8" s="1"/>
  <c r="F330" i="8" l="1"/>
  <c r="G330" i="8"/>
  <c r="H330" i="8" l="1"/>
  <c r="I330" i="8" s="1"/>
  <c r="E331" i="8" s="1"/>
  <c r="F331" i="8" l="1"/>
  <c r="G331" i="8"/>
  <c r="H331" i="8" l="1"/>
  <c r="I331" i="8" s="1"/>
  <c r="E332" i="8" s="1"/>
  <c r="F332" i="8" l="1"/>
  <c r="G332" i="8"/>
  <c r="H332" i="8" l="1"/>
  <c r="I332" i="8" s="1"/>
  <c r="E333" i="8" s="1"/>
  <c r="F333" i="8" l="1"/>
  <c r="G333" i="8"/>
  <c r="H333" i="8" l="1"/>
  <c r="I333" i="8" s="1"/>
  <c r="E334" i="8" s="1"/>
  <c r="F334" i="8" l="1"/>
  <c r="G334" i="8"/>
  <c r="H334" i="8" l="1"/>
  <c r="I334" i="8" s="1"/>
  <c r="E335" i="8" s="1"/>
  <c r="F335" i="8" l="1"/>
  <c r="G335" i="8"/>
  <c r="H335" i="8" l="1"/>
  <c r="I335" i="8" s="1"/>
  <c r="E336" i="8" s="1"/>
  <c r="F336" i="8" l="1"/>
  <c r="G336" i="8"/>
  <c r="H336" i="8" l="1"/>
  <c r="I336" i="8" s="1"/>
  <c r="E337" i="8" s="1"/>
  <c r="F337" i="8" l="1"/>
  <c r="G337" i="8"/>
  <c r="H337" i="8" l="1"/>
  <c r="I337" i="8" s="1"/>
  <c r="E338" i="8" s="1"/>
  <c r="F338" i="8" l="1"/>
  <c r="G338" i="8"/>
  <c r="H338" i="8" l="1"/>
  <c r="I338" i="8" s="1"/>
  <c r="E339" i="8" s="1"/>
  <c r="F339" i="8" l="1"/>
  <c r="G339" i="8"/>
  <c r="H339" i="8" l="1"/>
  <c r="I339" i="8" s="1"/>
  <c r="E340" i="8" s="1"/>
  <c r="G340" i="8" l="1"/>
  <c r="F340" i="8"/>
  <c r="H340" i="8" l="1"/>
  <c r="I340" i="8" s="1"/>
  <c r="E341" i="8" s="1"/>
  <c r="G341" i="8" l="1"/>
  <c r="F341" i="8"/>
  <c r="H341" i="8" l="1"/>
  <c r="I341" i="8" s="1"/>
  <c r="E342" i="8" s="1"/>
  <c r="F342" i="8" l="1"/>
  <c r="G342" i="8"/>
  <c r="H342" i="8" l="1"/>
  <c r="I342" i="8" s="1"/>
  <c r="E343" i="8" s="1"/>
  <c r="F343" i="8" l="1"/>
  <c r="G343" i="8"/>
  <c r="H343" i="8" l="1"/>
  <c r="I343" i="8" s="1"/>
  <c r="E344" i="8" s="1"/>
  <c r="F344" i="8" l="1"/>
  <c r="G344" i="8"/>
  <c r="H344" i="8" l="1"/>
  <c r="I344" i="8" s="1"/>
  <c r="E345" i="8" s="1"/>
  <c r="F345" i="8" l="1"/>
  <c r="G345" i="8"/>
  <c r="H345" i="8" l="1"/>
  <c r="I345" i="8" s="1"/>
  <c r="E346" i="8" s="1"/>
  <c r="F346" i="8" l="1"/>
  <c r="G346" i="8"/>
  <c r="H346" i="8" l="1"/>
  <c r="I346" i="8" s="1"/>
  <c r="E347" i="8" s="1"/>
  <c r="F347" i="8" l="1"/>
  <c r="G347" i="8"/>
  <c r="H347" i="8" l="1"/>
  <c r="I347" i="8" s="1"/>
  <c r="E348" i="8" s="1"/>
  <c r="F348" i="8" l="1"/>
  <c r="G348" i="8"/>
  <c r="H348" i="8" l="1"/>
  <c r="I348" i="8" s="1"/>
  <c r="E349" i="8" s="1"/>
  <c r="F349" i="8" l="1"/>
  <c r="G349" i="8"/>
  <c r="H349" i="8" l="1"/>
  <c r="I349" i="8" s="1"/>
  <c r="E350" i="8" s="1"/>
  <c r="F350" i="8" l="1"/>
  <c r="G350" i="8"/>
  <c r="H350" i="8" l="1"/>
  <c r="I350" i="8" s="1"/>
  <c r="E351" i="8" s="1"/>
  <c r="F351" i="8" l="1"/>
  <c r="G351" i="8"/>
  <c r="H351" i="8" l="1"/>
  <c r="I351" i="8" s="1"/>
  <c r="E352" i="8" s="1"/>
  <c r="F352" i="8" l="1"/>
  <c r="G352" i="8"/>
  <c r="H352" i="8" l="1"/>
  <c r="I352" i="8" s="1"/>
  <c r="E353" i="8" s="1"/>
  <c r="F353" i="8" l="1"/>
  <c r="G353" i="8"/>
  <c r="H353" i="8" l="1"/>
  <c r="I353" i="8" s="1"/>
  <c r="E354" i="8" s="1"/>
  <c r="G354" i="8" l="1"/>
  <c r="F354" i="8"/>
  <c r="H354" i="8" l="1"/>
  <c r="I354" i="8" s="1"/>
  <c r="E355" i="8" s="1"/>
  <c r="G355" i="8" l="1"/>
  <c r="F355" i="8"/>
  <c r="H355" i="8" l="1"/>
  <c r="I355" i="8" s="1"/>
  <c r="E356" i="8" s="1"/>
  <c r="F356" i="8" l="1"/>
  <c r="G356" i="8"/>
  <c r="H356" i="8" l="1"/>
  <c r="I356" i="8" s="1"/>
  <c r="E357" i="8" s="1"/>
  <c r="F357" i="8" l="1"/>
  <c r="G357" i="8"/>
  <c r="H357" i="8" l="1"/>
  <c r="I357" i="8" s="1"/>
  <c r="E358" i="8" s="1"/>
  <c r="F358" i="8" l="1"/>
  <c r="G358" i="8"/>
  <c r="H358" i="8" l="1"/>
  <c r="I358" i="8" s="1"/>
  <c r="E359" i="8" s="1"/>
  <c r="F359" i="8" l="1"/>
  <c r="G359" i="8"/>
  <c r="H359" i="8" l="1"/>
  <c r="I359" i="8" s="1"/>
  <c r="E360" i="8" s="1"/>
  <c r="F360" i="8" l="1"/>
  <c r="G360" i="8"/>
  <c r="H360" i="8" l="1"/>
  <c r="I360" i="8" s="1"/>
  <c r="E361" i="8" s="1"/>
  <c r="F361" i="8" l="1"/>
  <c r="G361" i="8"/>
  <c r="H361" i="8" l="1"/>
  <c r="I361" i="8" s="1"/>
  <c r="E362" i="8" s="1"/>
  <c r="F362" i="8" l="1"/>
  <c r="G362" i="8"/>
  <c r="H362" i="8" l="1"/>
  <c r="I362" i="8" s="1"/>
  <c r="E363" i="8" s="1"/>
  <c r="F363" i="8" l="1"/>
  <c r="G363" i="8"/>
  <c r="H363" i="8" l="1"/>
  <c r="I363" i="8" s="1"/>
  <c r="E364" i="8" s="1"/>
  <c r="F364" i="8" l="1"/>
  <c r="G364" i="8"/>
  <c r="H364" i="8" l="1"/>
  <c r="I364" i="8" s="1"/>
  <c r="E365" i="8" s="1"/>
  <c r="F365" i="8" l="1"/>
  <c r="G365" i="8"/>
  <c r="H365" i="8" l="1"/>
  <c r="I365" i="8" s="1"/>
  <c r="E366" i="8" s="1"/>
  <c r="F366" i="8" l="1"/>
  <c r="G366" i="8"/>
  <c r="H366" i="8" l="1"/>
  <c r="I366" i="8" s="1"/>
  <c r="E367" i="8" s="1"/>
  <c r="F367" i="8" l="1"/>
  <c r="G367" i="8"/>
  <c r="H367" i="8" l="1"/>
  <c r="I367" i="8" s="1"/>
  <c r="E368" i="8" s="1"/>
  <c r="F368" i="8" l="1"/>
  <c r="G368" i="8"/>
  <c r="H368" i="8" l="1"/>
  <c r="I368" i="8" s="1"/>
  <c r="E369" i="8" s="1"/>
  <c r="F369" i="8" l="1"/>
  <c r="G369" i="8"/>
  <c r="H369" i="8" l="1"/>
  <c r="I369" i="8" s="1"/>
  <c r="E370" i="8" s="1"/>
  <c r="F370" i="8" l="1"/>
  <c r="G370" i="8"/>
  <c r="H370" i="8" l="1"/>
  <c r="I370" i="8" s="1"/>
  <c r="E371" i="8" s="1"/>
  <c r="F371" i="8" l="1"/>
  <c r="G371" i="8"/>
  <c r="H371" i="8" l="1"/>
  <c r="I371" i="8" s="1"/>
  <c r="E372" i="8" s="1"/>
  <c r="F372" i="8" l="1"/>
  <c r="G372" i="8"/>
  <c r="H372" i="8" l="1"/>
  <c r="I372" i="8" s="1"/>
  <c r="O84" i="9"/>
  <c r="O89" i="9" s="1"/>
  <c r="P84" i="9"/>
  <c r="P89" i="9" s="1"/>
  <c r="Q84" i="9"/>
  <c r="Q89" i="9" s="1"/>
  <c r="R84" i="9"/>
  <c r="R89" i="9" s="1"/>
  <c r="S84" i="9"/>
  <c r="S89" i="9" s="1"/>
  <c r="T84" i="9"/>
  <c r="T89" i="9" s="1"/>
  <c r="U84" i="9"/>
  <c r="V84" i="9"/>
  <c r="V89" i="9" s="1"/>
  <c r="W84" i="9"/>
  <c r="X84" i="9"/>
  <c r="AP35" i="9" s="1"/>
  <c r="M86" i="9"/>
  <c r="U89" i="9" l="1"/>
  <c r="U97" i="9" s="1"/>
  <c r="AM35" i="9"/>
  <c r="AI35" i="9"/>
  <c r="AL35" i="9"/>
  <c r="AH35" i="9"/>
  <c r="AK35" i="9"/>
  <c r="AG35" i="9"/>
  <c r="W131" i="9"/>
  <c r="AO35" i="9"/>
  <c r="AN35" i="9"/>
  <c r="AJ35" i="9"/>
  <c r="X89" i="9"/>
  <c r="T97" i="9"/>
  <c r="Q97" i="9"/>
  <c r="S97" i="9"/>
  <c r="O97" i="9"/>
  <c r="P97" i="9"/>
  <c r="R97" i="9"/>
  <c r="W97" i="9"/>
  <c r="V97" i="9"/>
  <c r="Q96" i="9"/>
  <c r="T96" i="9"/>
  <c r="P96" i="9"/>
  <c r="W96" i="9"/>
  <c r="S96" i="9"/>
  <c r="O96" i="9"/>
  <c r="V96" i="9"/>
  <c r="R96" i="9"/>
  <c r="M85" i="9"/>
  <c r="M84" i="9" s="1"/>
  <c r="N84" i="9"/>
  <c r="AF35" i="9" s="1"/>
  <c r="J91" i="9" l="1"/>
  <c r="U96" i="9"/>
  <c r="AE35" i="9"/>
  <c r="AC35" i="9"/>
  <c r="AD35" i="9"/>
  <c r="X96" i="9"/>
  <c r="X97" i="9"/>
  <c r="N131" i="9"/>
  <c r="L84" i="9"/>
  <c r="K84" i="9"/>
  <c r="N175" i="9" l="1"/>
  <c r="N139" i="9"/>
  <c r="O157" i="9" s="1"/>
  <c r="O158" i="9" s="1"/>
  <c r="N138" i="9"/>
  <c r="N96" i="9"/>
  <c r="N97" i="9"/>
  <c r="O142" i="9" l="1"/>
  <c r="O143" i="9" s="1"/>
  <c r="N182" i="9"/>
  <c r="N185" i="9" s="1"/>
  <c r="N183" i="9"/>
  <c r="N186" i="9" s="1"/>
  <c r="N192" i="9" s="1"/>
  <c r="AF67" i="9" s="1"/>
  <c r="O100" i="9"/>
  <c r="O101" i="9" s="1"/>
  <c r="O104" i="9" s="1"/>
  <c r="O118" i="9" s="1"/>
  <c r="AF62" i="9" l="1"/>
  <c r="O146" i="9"/>
  <c r="N190" i="9"/>
  <c r="AF60" i="9" s="1"/>
  <c r="N191" i="9"/>
  <c r="N189" i="9"/>
  <c r="AF59" i="9" s="1"/>
  <c r="N173" i="9"/>
  <c r="AF54" i="9" s="1"/>
  <c r="N170" i="9"/>
  <c r="AF51" i="9" s="1"/>
  <c r="O109" i="9"/>
  <c r="O110" i="9" s="1"/>
  <c r="O127" i="9" s="1"/>
  <c r="O107" i="9"/>
  <c r="P100" i="9" s="1"/>
  <c r="P101" i="9" s="1"/>
  <c r="AF61" i="9" l="1"/>
  <c r="O161" i="9"/>
  <c r="O121" i="9"/>
  <c r="P114" i="9" s="1"/>
  <c r="O123" i="9"/>
  <c r="O129" i="9" s="1"/>
  <c r="AG46" i="9" s="1"/>
  <c r="AG44" i="9"/>
  <c r="O111" i="9"/>
  <c r="O128" i="9" s="1"/>
  <c r="P104" i="9"/>
  <c r="O126" i="9" l="1"/>
  <c r="P115" i="9"/>
  <c r="P146" i="9"/>
  <c r="P118" i="9"/>
  <c r="P161" i="9" s="1"/>
  <c r="AG45" i="9"/>
  <c r="P109" i="9"/>
  <c r="P110" i="9" s="1"/>
  <c r="P127" i="9" s="1"/>
  <c r="P107" i="9"/>
  <c r="Q100" i="9" s="1"/>
  <c r="Q101" i="9" s="1"/>
  <c r="Q104" i="9" s="1"/>
  <c r="AG43" i="9" l="1"/>
  <c r="O131" i="9"/>
  <c r="P123" i="9"/>
  <c r="P129" i="9" s="1"/>
  <c r="AH46" i="9" s="1"/>
  <c r="Q146" i="9"/>
  <c r="Q118" i="9"/>
  <c r="Q161" i="9" s="1"/>
  <c r="P121" i="9"/>
  <c r="Q114" i="9" s="1"/>
  <c r="AH44" i="9"/>
  <c r="P111" i="9"/>
  <c r="P128" i="9" s="1"/>
  <c r="Q109" i="9"/>
  <c r="Q111" i="9" s="1"/>
  <c r="Q128" i="9" s="1"/>
  <c r="Q107" i="9"/>
  <c r="R100" i="9" s="1"/>
  <c r="R101" i="9" s="1"/>
  <c r="O138" i="9" l="1"/>
  <c r="O147" i="9" s="1"/>
  <c r="O139" i="9"/>
  <c r="P126" i="9"/>
  <c r="Q123" i="9"/>
  <c r="Q129" i="9" s="1"/>
  <c r="AI46" i="9" s="1"/>
  <c r="Q115" i="9"/>
  <c r="Q121" i="9" s="1"/>
  <c r="R114" i="9" s="1"/>
  <c r="AI45" i="9"/>
  <c r="AH45" i="9"/>
  <c r="Q110" i="9"/>
  <c r="Q127" i="9" s="1"/>
  <c r="R104" i="9"/>
  <c r="O152" i="9" l="1"/>
  <c r="O162" i="9"/>
  <c r="O167" i="9" s="1"/>
  <c r="O150" i="9"/>
  <c r="P142" i="9" s="1"/>
  <c r="P143" i="9" s="1"/>
  <c r="AH43" i="9"/>
  <c r="P131" i="9"/>
  <c r="Q126" i="9"/>
  <c r="R146" i="9"/>
  <c r="R118" i="9"/>
  <c r="R161" i="9" s="1"/>
  <c r="R115" i="9"/>
  <c r="AI44" i="9"/>
  <c r="R109" i="9"/>
  <c r="R111" i="9" s="1"/>
  <c r="R128" i="9" s="1"/>
  <c r="R107" i="9"/>
  <c r="S100" i="9" s="1"/>
  <c r="S101" i="9" s="1"/>
  <c r="O165" i="9" l="1"/>
  <c r="P157" i="9" s="1"/>
  <c r="P158" i="9" s="1"/>
  <c r="R123" i="9"/>
  <c r="R129" i="9" s="1"/>
  <c r="AJ46" i="9" s="1"/>
  <c r="AI43" i="9"/>
  <c r="Q131" i="9"/>
  <c r="P138" i="9"/>
  <c r="P147" i="9" s="1"/>
  <c r="P139" i="9"/>
  <c r="O153" i="9"/>
  <c r="O171" i="9" s="1"/>
  <c r="AG52" i="9" s="1"/>
  <c r="O154" i="9"/>
  <c r="O172" i="9" s="1"/>
  <c r="AG53" i="9" s="1"/>
  <c r="R121" i="9"/>
  <c r="S114" i="9" s="1"/>
  <c r="S115" i="9" s="1"/>
  <c r="AJ45" i="9"/>
  <c r="O170" i="9"/>
  <c r="O173" i="9"/>
  <c r="AG54" i="9" s="1"/>
  <c r="R110" i="9"/>
  <c r="R127" i="9" s="1"/>
  <c r="S104" i="9"/>
  <c r="S118" i="9" s="1"/>
  <c r="S161" i="9" s="1"/>
  <c r="P162" i="9" l="1"/>
  <c r="P167" i="9" s="1"/>
  <c r="P173" i="9" s="1"/>
  <c r="AH54" i="9" s="1"/>
  <c r="R126" i="9"/>
  <c r="R131" i="9" s="1"/>
  <c r="R138" i="9" s="1"/>
  <c r="P152" i="9"/>
  <c r="P153" i="9" s="1"/>
  <c r="P171" i="9" s="1"/>
  <c r="AH52" i="9" s="1"/>
  <c r="P150" i="9"/>
  <c r="Q142" i="9" s="1"/>
  <c r="Q143" i="9" s="1"/>
  <c r="Q138" i="9"/>
  <c r="Q139" i="9"/>
  <c r="AG51" i="9"/>
  <c r="O175" i="9"/>
  <c r="S121" i="9"/>
  <c r="T114" i="9" s="1"/>
  <c r="T115" i="9" s="1"/>
  <c r="AJ44" i="9"/>
  <c r="S109" i="9"/>
  <c r="S110" i="9" s="1"/>
  <c r="S127" i="9" s="1"/>
  <c r="S146" i="9"/>
  <c r="S123" i="9"/>
  <c r="S129" i="9" s="1"/>
  <c r="S107" i="9"/>
  <c r="T100" i="9" s="1"/>
  <c r="T101" i="9" s="1"/>
  <c r="T104" i="9" s="1"/>
  <c r="R139" i="9" l="1"/>
  <c r="P165" i="9"/>
  <c r="Q157" i="9" s="1"/>
  <c r="Q158" i="9" s="1"/>
  <c r="P154" i="9"/>
  <c r="P172" i="9" s="1"/>
  <c r="AH53" i="9" s="1"/>
  <c r="AJ43" i="9"/>
  <c r="O183" i="9"/>
  <c r="O186" i="9" s="1"/>
  <c r="O192" i="9" s="1"/>
  <c r="AG67" i="9" s="1"/>
  <c r="O182" i="9"/>
  <c r="O185" i="9" s="1"/>
  <c r="T146" i="9"/>
  <c r="T118" i="9"/>
  <c r="T123" i="9" s="1"/>
  <c r="T129" i="9" s="1"/>
  <c r="AK44" i="9"/>
  <c r="AK46" i="9"/>
  <c r="P170" i="9"/>
  <c r="T109" i="9"/>
  <c r="Q147" i="9"/>
  <c r="S111" i="9"/>
  <c r="S128" i="9" s="1"/>
  <c r="S126" i="9"/>
  <c r="S131" i="9" s="1"/>
  <c r="T107" i="9"/>
  <c r="U100" i="9" s="1"/>
  <c r="AG62" i="9" l="1"/>
  <c r="AH51" i="9"/>
  <c r="P175" i="9"/>
  <c r="O190" i="9"/>
  <c r="AG60" i="9" s="1"/>
  <c r="O191" i="9"/>
  <c r="O189" i="9"/>
  <c r="AG59" i="9" s="1"/>
  <c r="Q152" i="9"/>
  <c r="Q162" i="9"/>
  <c r="Q167" i="9" s="1"/>
  <c r="T121" i="9"/>
  <c r="U114" i="9" s="1"/>
  <c r="U115" i="9" s="1"/>
  <c r="T161" i="9"/>
  <c r="AL46" i="9"/>
  <c r="AK45" i="9"/>
  <c r="AK43" i="9"/>
  <c r="T126" i="9"/>
  <c r="T131" i="9" s="1"/>
  <c r="Q150" i="9"/>
  <c r="R142" i="9" s="1"/>
  <c r="S138" i="9"/>
  <c r="S139" i="9"/>
  <c r="T110" i="9"/>
  <c r="T127" i="9" s="1"/>
  <c r="T111" i="9"/>
  <c r="U101" i="9"/>
  <c r="AG61" i="9" l="1"/>
  <c r="T128" i="9"/>
  <c r="P182" i="9"/>
  <c r="P185" i="9" s="1"/>
  <c r="P183" i="9"/>
  <c r="P186" i="9" s="1"/>
  <c r="P192" i="9" s="1"/>
  <c r="AH67" i="9" s="1"/>
  <c r="Q154" i="9"/>
  <c r="Q172" i="9" s="1"/>
  <c r="AI53" i="9" s="1"/>
  <c r="Q153" i="9"/>
  <c r="Q171" i="9" s="1"/>
  <c r="AI52" i="9" s="1"/>
  <c r="AL43" i="9"/>
  <c r="AL44" i="9"/>
  <c r="T138" i="9"/>
  <c r="Q170" i="9"/>
  <c r="Q173" i="9"/>
  <c r="AI54" i="9" s="1"/>
  <c r="Q165" i="9"/>
  <c r="R157" i="9" s="1"/>
  <c r="T139" i="9"/>
  <c r="R143" i="9"/>
  <c r="U104" i="9"/>
  <c r="AL45" i="9" l="1"/>
  <c r="AH62" i="9"/>
  <c r="AI51" i="9"/>
  <c r="Q175" i="9"/>
  <c r="P190" i="9"/>
  <c r="AH60" i="9" s="1"/>
  <c r="P189" i="9"/>
  <c r="AH59" i="9" s="1"/>
  <c r="P191" i="9"/>
  <c r="U146" i="9"/>
  <c r="U118" i="9"/>
  <c r="U161" i="9" s="1"/>
  <c r="U109" i="9"/>
  <c r="R158" i="9"/>
  <c r="R147" i="9"/>
  <c r="R162" i="9" s="1"/>
  <c r="U107" i="9"/>
  <c r="V100" i="9" s="1"/>
  <c r="V101" i="9" s="1"/>
  <c r="V104" i="9" s="1"/>
  <c r="AH61" i="9" l="1"/>
  <c r="Q182" i="9"/>
  <c r="Q185" i="9" s="1"/>
  <c r="Q183" i="9"/>
  <c r="Q186" i="9" s="1"/>
  <c r="Q192" i="9" s="1"/>
  <c r="AI67" i="9" s="1"/>
  <c r="U123" i="9"/>
  <c r="U129" i="9" s="1"/>
  <c r="V146" i="9"/>
  <c r="V118" i="9"/>
  <c r="R167" i="9"/>
  <c r="R150" i="9"/>
  <c r="S142" i="9" s="1"/>
  <c r="R152" i="9"/>
  <c r="V109" i="9"/>
  <c r="V111" i="9" s="1"/>
  <c r="V128" i="9" s="1"/>
  <c r="U110" i="9"/>
  <c r="U127" i="9" s="1"/>
  <c r="U111" i="9"/>
  <c r="U121" i="9"/>
  <c r="V114" i="9" s="1"/>
  <c r="V107" i="9"/>
  <c r="W100" i="9" s="1"/>
  <c r="U128" i="9" l="1"/>
  <c r="AI62" i="9"/>
  <c r="Q191" i="9"/>
  <c r="Q190" i="9"/>
  <c r="AI60" i="9" s="1"/>
  <c r="Q189" i="9"/>
  <c r="AI59" i="9" s="1"/>
  <c r="U126" i="9"/>
  <c r="AM43" i="9" s="1"/>
  <c r="AN45" i="9"/>
  <c r="AM46" i="9"/>
  <c r="AM44" i="9"/>
  <c r="U131" i="9"/>
  <c r="R170" i="9"/>
  <c r="R165" i="9"/>
  <c r="S157" i="9" s="1"/>
  <c r="R154" i="9"/>
  <c r="R172" i="9" s="1"/>
  <c r="AJ53" i="9" s="1"/>
  <c r="R153" i="9"/>
  <c r="R171" i="9" s="1"/>
  <c r="AJ52" i="9" s="1"/>
  <c r="S143" i="9"/>
  <c r="V110" i="9"/>
  <c r="V127" i="9" s="1"/>
  <c r="V115" i="9"/>
  <c r="V161" i="9" s="1"/>
  <c r="W101" i="9"/>
  <c r="W104" i="9" s="1"/>
  <c r="AI61" i="9" l="1"/>
  <c r="AM45" i="9"/>
  <c r="AJ51" i="9"/>
  <c r="R175" i="9"/>
  <c r="W146" i="9"/>
  <c r="W118" i="9"/>
  <c r="AN44" i="9"/>
  <c r="R173" i="9"/>
  <c r="AJ54" i="9" s="1"/>
  <c r="U139" i="9"/>
  <c r="U138" i="9"/>
  <c r="S158" i="9"/>
  <c r="S147" i="9"/>
  <c r="V123" i="9"/>
  <c r="V129" i="9" s="1"/>
  <c r="W109" i="9"/>
  <c r="W110" i="9" s="1"/>
  <c r="W127" i="9" s="1"/>
  <c r="V121" i="9"/>
  <c r="W114" i="9" s="1"/>
  <c r="W107" i="9"/>
  <c r="X100" i="9" s="1"/>
  <c r="X101" i="9" s="1"/>
  <c r="X104" i="9" s="1"/>
  <c r="X118" i="9" s="1"/>
  <c r="R183" i="9" l="1"/>
  <c r="R186" i="9" s="1"/>
  <c r="R192" i="9" s="1"/>
  <c r="AJ67" i="9" s="1"/>
  <c r="R182" i="9"/>
  <c r="R185" i="9" s="1"/>
  <c r="S152" i="9"/>
  <c r="S153" i="9" s="1"/>
  <c r="S171" i="9" s="1"/>
  <c r="AK52" i="9" s="1"/>
  <c r="S162" i="9"/>
  <c r="X146" i="9"/>
  <c r="AN46" i="9"/>
  <c r="AO44" i="9"/>
  <c r="V126" i="9"/>
  <c r="V131" i="9" s="1"/>
  <c r="S150" i="9"/>
  <c r="T142" i="9" s="1"/>
  <c r="W111" i="9"/>
  <c r="W115" i="9"/>
  <c r="W161" i="9" s="1"/>
  <c r="X109" i="9"/>
  <c r="X107" i="9"/>
  <c r="W128" i="9" l="1"/>
  <c r="S167" i="9"/>
  <c r="S170" i="9" s="1"/>
  <c r="AJ62" i="9"/>
  <c r="R191" i="9"/>
  <c r="R189" i="9"/>
  <c r="AJ59" i="9" s="1"/>
  <c r="R190" i="9"/>
  <c r="AJ60" i="9" s="1"/>
  <c r="S154" i="9"/>
  <c r="S172" i="9" s="1"/>
  <c r="AK53" i="9" s="1"/>
  <c r="AN43" i="9"/>
  <c r="V138" i="9"/>
  <c r="V175" i="9"/>
  <c r="S165" i="9"/>
  <c r="T157" i="9" s="1"/>
  <c r="V139" i="9"/>
  <c r="T143" i="9"/>
  <c r="W123" i="9"/>
  <c r="W129" i="9" s="1"/>
  <c r="W121" i="9"/>
  <c r="X114" i="9" s="1"/>
  <c r="X115" i="9" s="1"/>
  <c r="X161" i="9" s="1"/>
  <c r="X111" i="9"/>
  <c r="K111" i="9" s="1"/>
  <c r="X110" i="9"/>
  <c r="K109" i="9"/>
  <c r="AJ61" i="9" l="1"/>
  <c r="AO45" i="9"/>
  <c r="S173" i="9"/>
  <c r="AK54" i="9" s="1"/>
  <c r="AK51" i="9"/>
  <c r="S175" i="9"/>
  <c r="AO46" i="9"/>
  <c r="T147" i="9"/>
  <c r="V182" i="9"/>
  <c r="V183" i="9"/>
  <c r="T158" i="9"/>
  <c r="W126" i="9"/>
  <c r="X123" i="9"/>
  <c r="X129" i="9" s="1"/>
  <c r="X121" i="9"/>
  <c r="K110" i="9"/>
  <c r="X127" i="9"/>
  <c r="X128" i="9"/>
  <c r="K128" i="9" s="1"/>
  <c r="L128" i="9" l="1"/>
  <c r="S182" i="9"/>
  <c r="S185" i="9" s="1"/>
  <c r="S183" i="9"/>
  <c r="S186" i="9" s="1"/>
  <c r="S192" i="9" s="1"/>
  <c r="AK67" i="9" s="1"/>
  <c r="T152" i="9"/>
  <c r="T162" i="9"/>
  <c r="T165" i="9" s="1"/>
  <c r="U157" i="9" s="1"/>
  <c r="AO43" i="9"/>
  <c r="AP45" i="9"/>
  <c r="L129" i="9"/>
  <c r="AP46" i="9"/>
  <c r="L127" i="9"/>
  <c r="AP44" i="9"/>
  <c r="T150" i="9"/>
  <c r="U142" i="9" s="1"/>
  <c r="U143" i="9" s="1"/>
  <c r="W139" i="9"/>
  <c r="W175" i="9"/>
  <c r="K123" i="9"/>
  <c r="W138" i="9"/>
  <c r="X126" i="9"/>
  <c r="K129" i="9"/>
  <c r="M129" i="9"/>
  <c r="M128" i="9"/>
  <c r="K127" i="9"/>
  <c r="M127" i="9"/>
  <c r="AC45" i="9" l="1"/>
  <c r="AD45" i="9"/>
  <c r="T167" i="9"/>
  <c r="T170" i="9" s="1"/>
  <c r="AK62" i="9"/>
  <c r="T154" i="9"/>
  <c r="T153" i="9"/>
  <c r="T171" i="9" s="1"/>
  <c r="AL52" i="9" s="1"/>
  <c r="S191" i="9"/>
  <c r="AK61" i="9" s="1"/>
  <c r="S190" i="9"/>
  <c r="AK60" i="9" s="1"/>
  <c r="S189" i="9"/>
  <c r="AK59" i="9" s="1"/>
  <c r="AP43" i="9"/>
  <c r="AD43" i="9" s="1"/>
  <c r="AC46" i="9"/>
  <c r="AE46" i="9"/>
  <c r="AD46" i="9"/>
  <c r="AD44" i="9"/>
  <c r="AE44" i="9"/>
  <c r="AC44" i="9"/>
  <c r="AE45" i="9"/>
  <c r="X131" i="9"/>
  <c r="J133" i="9" s="1"/>
  <c r="U147" i="9"/>
  <c r="U162" i="9" s="1"/>
  <c r="W182" i="9"/>
  <c r="W183" i="9"/>
  <c r="U158" i="9"/>
  <c r="L126" i="9"/>
  <c r="K126" i="9"/>
  <c r="M126" i="9"/>
  <c r="T172" i="9" l="1"/>
  <c r="AL51" i="9"/>
  <c r="T175" i="9"/>
  <c r="T173" i="9"/>
  <c r="AL54" i="9" s="1"/>
  <c r="AC43" i="9"/>
  <c r="AE43" i="9"/>
  <c r="X138" i="9"/>
  <c r="X139" i="9"/>
  <c r="U152" i="9"/>
  <c r="U167" i="9"/>
  <c r="U150" i="9"/>
  <c r="V142" i="9" s="1"/>
  <c r="V143" i="9" s="1"/>
  <c r="U165" i="9"/>
  <c r="V157" i="9" s="1"/>
  <c r="AL53" i="9" l="1"/>
  <c r="T183" i="9"/>
  <c r="T186" i="9" s="1"/>
  <c r="T192" i="9" s="1"/>
  <c r="AL67" i="9" s="1"/>
  <c r="T182" i="9"/>
  <c r="T185" i="9" s="1"/>
  <c r="U170" i="9"/>
  <c r="U153" i="9"/>
  <c r="U171" i="9" s="1"/>
  <c r="AM52" i="9" s="1"/>
  <c r="U154" i="9"/>
  <c r="U173" i="9"/>
  <c r="AM54" i="9" s="1"/>
  <c r="V158" i="9"/>
  <c r="V147" i="9"/>
  <c r="V162" i="9" s="1"/>
  <c r="U172" i="9" l="1"/>
  <c r="AL62" i="9"/>
  <c r="T190" i="9"/>
  <c r="AL60" i="9" s="1"/>
  <c r="T191" i="9"/>
  <c r="T189" i="9"/>
  <c r="AL59" i="9" s="1"/>
  <c r="U175" i="9"/>
  <c r="AM51" i="9"/>
  <c r="V167" i="9"/>
  <c r="V186" i="9" s="1"/>
  <c r="V192" i="9" s="1"/>
  <c r="AN67" i="9" s="1"/>
  <c r="V165" i="9"/>
  <c r="W157" i="9" s="1"/>
  <c r="V150" i="9"/>
  <c r="W142" i="9" s="1"/>
  <c r="W143" i="9" s="1"/>
  <c r="V152" i="9"/>
  <c r="V185" i="9" s="1"/>
  <c r="AB174" i="9" l="1"/>
  <c r="AL61" i="9"/>
  <c r="AM53" i="9"/>
  <c r="AN62" i="9"/>
  <c r="U183" i="9"/>
  <c r="U186" i="9" s="1"/>
  <c r="U192" i="9" s="1"/>
  <c r="AM67" i="9" s="1"/>
  <c r="AC20" i="9" s="1"/>
  <c r="U182" i="9"/>
  <c r="U185" i="9" s="1"/>
  <c r="U190" i="9" s="1"/>
  <c r="AM60" i="9" s="1"/>
  <c r="V190" i="9"/>
  <c r="AN60" i="9" s="1"/>
  <c r="V191" i="9"/>
  <c r="AN61" i="9" s="1"/>
  <c r="V189" i="9"/>
  <c r="AN59" i="9" s="1"/>
  <c r="V173" i="9"/>
  <c r="AN54" i="9" s="1"/>
  <c r="V170" i="9"/>
  <c r="AN51" i="9" s="1"/>
  <c r="W158" i="9"/>
  <c r="V153" i="9"/>
  <c r="V171" i="9" s="1"/>
  <c r="AN52" i="9" s="1"/>
  <c r="V154" i="9"/>
  <c r="W147" i="9"/>
  <c r="W162" i="9" s="1"/>
  <c r="V172" i="9" l="1"/>
  <c r="AM62" i="9"/>
  <c r="U189" i="9"/>
  <c r="AM59" i="9" s="1"/>
  <c r="U191" i="9"/>
  <c r="W167" i="9"/>
  <c r="W186" i="9" s="1"/>
  <c r="W192" i="9" s="1"/>
  <c r="W152" i="9"/>
  <c r="W165" i="9"/>
  <c r="X157" i="9" s="1"/>
  <c r="W150" i="9"/>
  <c r="X142" i="9" s="1"/>
  <c r="X143" i="9" s="1"/>
  <c r="X147" i="9" s="1"/>
  <c r="X162" i="9" s="1"/>
  <c r="AM61" i="9" l="1"/>
  <c r="AN53" i="9"/>
  <c r="AO62" i="9"/>
  <c r="W154" i="9"/>
  <c r="W185" i="9"/>
  <c r="W153" i="9"/>
  <c r="W171" i="9" s="1"/>
  <c r="AO52" i="9" s="1"/>
  <c r="X152" i="9"/>
  <c r="K152" i="9" s="1"/>
  <c r="W170" i="9"/>
  <c r="AO51" i="9" s="1"/>
  <c r="W173" i="9"/>
  <c r="AO54" i="9" s="1"/>
  <c r="X158" i="9"/>
  <c r="X167" i="9" s="1"/>
  <c r="X150" i="9"/>
  <c r="W172" i="9" l="1"/>
  <c r="AE67" i="9"/>
  <c r="AF20" i="9" s="1"/>
  <c r="AC67" i="9"/>
  <c r="AD20" i="9" s="1"/>
  <c r="W189" i="9"/>
  <c r="AO59" i="9" s="1"/>
  <c r="W191" i="9"/>
  <c r="W190" i="9"/>
  <c r="AO60" i="9" s="1"/>
  <c r="X153" i="9"/>
  <c r="K153" i="9" s="1"/>
  <c r="X154" i="9"/>
  <c r="K154" i="9" s="1"/>
  <c r="K167" i="9"/>
  <c r="X173" i="9"/>
  <c r="X170" i="9"/>
  <c r="X165" i="9"/>
  <c r="AO61" i="9" l="1"/>
  <c r="AO53" i="9"/>
  <c r="L173" i="9"/>
  <c r="AP54" i="9"/>
  <c r="X175" i="9"/>
  <c r="AP51" i="9"/>
  <c r="X171" i="9"/>
  <c r="X172" i="9"/>
  <c r="K170" i="9"/>
  <c r="M173" i="9"/>
  <c r="K173" i="9"/>
  <c r="L170" i="9"/>
  <c r="X182" i="9" l="1"/>
  <c r="X185" i="9" s="1"/>
  <c r="X190" i="9" s="1"/>
  <c r="AP60" i="9" s="1"/>
  <c r="J177" i="9"/>
  <c r="K172" i="9"/>
  <c r="L172" i="9"/>
  <c r="X183" i="9"/>
  <c r="X186" i="9" s="1"/>
  <c r="X192" i="9" s="1"/>
  <c r="K171" i="9"/>
  <c r="AP52" i="9"/>
  <c r="AD51" i="9"/>
  <c r="AC51" i="9"/>
  <c r="AC54" i="9"/>
  <c r="AE54" i="9"/>
  <c r="AD54" i="9"/>
  <c r="AP53" i="9"/>
  <c r="L171" i="9"/>
  <c r="M172" i="9"/>
  <c r="M171" i="9"/>
  <c r="K190" i="9" l="1"/>
  <c r="L190" i="9"/>
  <c r="M190" i="9"/>
  <c r="K185" i="9"/>
  <c r="X191" i="9"/>
  <c r="K191" i="9" s="1"/>
  <c r="AC53" i="9"/>
  <c r="AD53" i="9"/>
  <c r="X189" i="9"/>
  <c r="AP59" i="9" s="1"/>
  <c r="AP62" i="9"/>
  <c r="AD62" i="9" s="1"/>
  <c r="AE18" i="9" s="1"/>
  <c r="AD67" i="9"/>
  <c r="AE20" i="9" s="1"/>
  <c r="K186" i="9"/>
  <c r="AD60" i="9"/>
  <c r="AC60" i="9"/>
  <c r="AE60" i="9"/>
  <c r="AC52" i="9"/>
  <c r="AD52" i="9"/>
  <c r="AE52" i="9"/>
  <c r="AE53" i="9"/>
  <c r="K192" i="9"/>
  <c r="L192" i="9"/>
  <c r="M192" i="9"/>
  <c r="M170" i="9"/>
  <c r="L191" i="9" l="1"/>
  <c r="M191" i="9"/>
  <c r="M189" i="9" s="1"/>
  <c r="AP61" i="9"/>
  <c r="AD61" i="9" s="1"/>
  <c r="AE16" i="9" s="1"/>
  <c r="L189" i="9"/>
  <c r="K189" i="9"/>
  <c r="AE62" i="9"/>
  <c r="AF18" i="9" s="1"/>
  <c r="AC62" i="9"/>
  <c r="AD18" i="9" s="1"/>
  <c r="AF15" i="9"/>
  <c r="AE14" i="9"/>
  <c r="AE15" i="9"/>
  <c r="AD14" i="9"/>
  <c r="AD15" i="9"/>
  <c r="AD59" i="9"/>
  <c r="AC59" i="9"/>
  <c r="AE51" i="9"/>
  <c r="AE61" i="9" l="1"/>
  <c r="AE59" i="9" s="1"/>
  <c r="AC61" i="9"/>
  <c r="AD16" i="9" s="1"/>
  <c r="AF16" i="9" l="1"/>
  <c r="AF14" i="9" s="1"/>
  <c r="C2" i="1"/>
</calcChain>
</file>

<file path=xl/sharedStrings.xml><?xml version="1.0" encoding="utf-8"?>
<sst xmlns="http://schemas.openxmlformats.org/spreadsheetml/2006/main" count="420" uniqueCount="196">
  <si>
    <t>Purchase Price</t>
  </si>
  <si>
    <t>Tax</t>
  </si>
  <si>
    <t>Insurance</t>
  </si>
  <si>
    <t>CAM</t>
  </si>
  <si>
    <t>mgmt fee</t>
  </si>
  <si>
    <t>Insurance premium</t>
  </si>
  <si>
    <t>Cam</t>
  </si>
  <si>
    <t xml:space="preserve">Mgmt Fee </t>
  </si>
  <si>
    <t>Going in Cap Rate</t>
  </si>
  <si>
    <t>NOI</t>
  </si>
  <si>
    <t>Sale</t>
  </si>
  <si>
    <t>Selling Expenses</t>
  </si>
  <si>
    <t>Going Out Cap Rate</t>
  </si>
  <si>
    <t>Proceeds</t>
  </si>
  <si>
    <t>Unlvered Cash Flow</t>
  </si>
  <si>
    <t>Cap Ex &amp; Misc</t>
  </si>
  <si>
    <t>CFO</t>
  </si>
  <si>
    <t>LTV</t>
  </si>
  <si>
    <t>Int Rate</t>
  </si>
  <si>
    <t>Points</t>
  </si>
  <si>
    <t>Pmt</t>
  </si>
  <si>
    <t>Loan Proceeds</t>
  </si>
  <si>
    <t>Cash on Cash</t>
  </si>
  <si>
    <t>Debt Payments</t>
  </si>
  <si>
    <t>CFAF</t>
  </si>
  <si>
    <t>Loan Repayment</t>
  </si>
  <si>
    <t>Levered</t>
  </si>
  <si>
    <t>Balance</t>
  </si>
  <si>
    <t>Int</t>
  </si>
  <si>
    <t>Princ</t>
  </si>
  <si>
    <t>End</t>
  </si>
  <si>
    <t>Inputs</t>
  </si>
  <si>
    <t>Vacancy</t>
  </si>
  <si>
    <t>Address</t>
  </si>
  <si>
    <t>Yes</t>
  </si>
  <si>
    <t>Tax in Year 1</t>
  </si>
  <si>
    <t>Year</t>
  </si>
  <si>
    <t>Debt</t>
  </si>
  <si>
    <t>Loan Amortization Schedule</t>
  </si>
  <si>
    <t>Period</t>
  </si>
  <si>
    <t>Unlevered IRR</t>
  </si>
  <si>
    <t>Y-Axis - Rent Increments</t>
  </si>
  <si>
    <t>X-Axis - Housing Purchase Price Increments</t>
  </si>
  <si>
    <t>Hold Period</t>
  </si>
  <si>
    <t>When?</t>
  </si>
  <si>
    <t>No</t>
  </si>
  <si>
    <t>Major Capital Improvement</t>
  </si>
  <si>
    <t>Major Cap Imp Cost</t>
  </si>
  <si>
    <t>Closing costs</t>
  </si>
  <si>
    <t>Ave Annual Cap ex &amp; Misc</t>
  </si>
  <si>
    <t>Required Levered Return on Investment</t>
  </si>
  <si>
    <t>Required Unlevered Return on Investment</t>
  </si>
  <si>
    <t>Effective Gross Income</t>
  </si>
  <si>
    <t>Exit Year</t>
  </si>
  <si>
    <t>IRR</t>
  </si>
  <si>
    <t>Equity Multiple</t>
  </si>
  <si>
    <t>Duration</t>
  </si>
  <si>
    <t>Levered Cash Flow</t>
  </si>
  <si>
    <t>% Financed by Initial Loan</t>
  </si>
  <si>
    <t>Gross Income</t>
  </si>
  <si>
    <t xml:space="preserve"> </t>
  </si>
  <si>
    <t>Gross Income and Purchase Price Sensitivity</t>
  </si>
  <si>
    <t>Holding Period Sensitivity Analysis</t>
  </si>
  <si>
    <t>Unlevered</t>
  </si>
  <si>
    <t xml:space="preserve">Expected Ave Annual Vacancy </t>
  </si>
  <si>
    <t>Financed by loan?</t>
  </si>
  <si>
    <t>By: Michael Belasco for AdventuresinCRE.com</t>
  </si>
  <si>
    <t>Sensitivity Analysis</t>
  </si>
  <si>
    <t>Return Metrics</t>
  </si>
  <si>
    <t>Ave Cash on Cash</t>
  </si>
  <si>
    <t>DSCR</t>
  </si>
  <si>
    <t>Debt Yield</t>
  </si>
  <si>
    <t>Min DSCR</t>
  </si>
  <si>
    <t>Min Debt Yield</t>
  </si>
  <si>
    <t>Property Name</t>
  </si>
  <si>
    <t>Property SF</t>
  </si>
  <si>
    <t>$/PSF</t>
  </si>
  <si>
    <t>Terrapin Station Center</t>
  </si>
  <si>
    <t>215 Shakedown St. Phila, PA</t>
  </si>
  <si>
    <t>Gross Potential Income</t>
  </si>
  <si>
    <t>Gross Potential Income Year 1</t>
  </si>
  <si>
    <t>Expected Vacancy</t>
  </si>
  <si>
    <t>Additional Vacancy</t>
  </si>
  <si>
    <t>Base Rent Year 1</t>
  </si>
  <si>
    <t>Reimbursable Expenses Year 1</t>
  </si>
  <si>
    <t>Misc. Income</t>
  </si>
  <si>
    <t>Mgmt Fee</t>
  </si>
  <si>
    <t>Growth</t>
  </si>
  <si>
    <t>Rate</t>
  </si>
  <si>
    <t>Leasing Commissions</t>
  </si>
  <si>
    <t>Tenant Inprovements</t>
  </si>
  <si>
    <t>Net Gain (loss)</t>
  </si>
  <si>
    <t>Net Gain (Loss)</t>
  </si>
  <si>
    <t>DCF</t>
  </si>
  <si>
    <t>Amort. Period (Max 30 years)</t>
  </si>
  <si>
    <t>Amortization Schedule</t>
  </si>
  <si>
    <t>Inputs/Summary</t>
  </si>
  <si>
    <t>Total Equity In</t>
  </si>
  <si>
    <t>Asset Management Fee</t>
  </si>
  <si>
    <t>% of Purchase Price</t>
  </si>
  <si>
    <t>% of EGR</t>
  </si>
  <si>
    <t>% of NOI</t>
  </si>
  <si>
    <t>Cash Flow After Fees</t>
  </si>
  <si>
    <t>Return Hurdle</t>
  </si>
  <si>
    <t>Equity Split</t>
  </si>
  <si>
    <t>Tier 1</t>
  </si>
  <si>
    <t xml:space="preserve">Limited Partner 1 </t>
  </si>
  <si>
    <t>Limited Partner 2</t>
  </si>
  <si>
    <t>Sponsor</t>
  </si>
  <si>
    <t xml:space="preserve">  </t>
  </si>
  <si>
    <t>Acquisition Fee (% of Purchase Price)</t>
  </si>
  <si>
    <t xml:space="preserve">Total Equity Needed </t>
  </si>
  <si>
    <t>Disposition Fee (% of Sale Price)</t>
  </si>
  <si>
    <t>Total Fees to Sponsor</t>
  </si>
  <si>
    <t>Profit</t>
  </si>
  <si>
    <t>Property Level Cash Flow</t>
  </si>
  <si>
    <t>Total Cash Flow Available For Tier 1</t>
  </si>
  <si>
    <t>Combined LP Distribution Calcs</t>
  </si>
  <si>
    <t>Preferred Return for LPs?</t>
  </si>
  <si>
    <t>Accrued Interest</t>
  </si>
  <si>
    <t>Beginning Balance</t>
  </si>
  <si>
    <t>Capital Injections</t>
  </si>
  <si>
    <t>Return of Capital</t>
  </si>
  <si>
    <t>Ending Balance</t>
  </si>
  <si>
    <t>Return Split in Tier 1</t>
  </si>
  <si>
    <t>LP1</t>
  </si>
  <si>
    <t>LP2</t>
  </si>
  <si>
    <t>Tier 1 - LPs Cash Flow Combined</t>
  </si>
  <si>
    <t>Tier 1 - LP1 Cash Flow</t>
  </si>
  <si>
    <t>Tier 1 - LP2 Cash Flow</t>
  </si>
  <si>
    <t>Payment on Interest</t>
  </si>
  <si>
    <t>Total Tier 1 Cash Flow - Check</t>
  </si>
  <si>
    <t>Cash Remaining</t>
  </si>
  <si>
    <t>LP - Combined</t>
  </si>
  <si>
    <t>Profit Split until Catch Up</t>
  </si>
  <si>
    <t>Total LP Profit Pre-Catch Up</t>
  </si>
  <si>
    <t>Total Catch Up Cash Flow to LP</t>
  </si>
  <si>
    <t>Total Catch Up Cash Flow to Sponsor</t>
  </si>
  <si>
    <t>Share of Profit</t>
  </si>
  <si>
    <t>Total Catch Up Cash Flow</t>
  </si>
  <si>
    <t>Goal Seek or Use Solver</t>
  </si>
  <si>
    <t>Is there a catch up?</t>
  </si>
  <si>
    <t>Total Cash Flow Pre Catch Up</t>
  </si>
  <si>
    <t>Total Cash Flow Check</t>
  </si>
  <si>
    <t>LP Cash Flow Check</t>
  </si>
  <si>
    <t>Sponsor Cash Flow Check</t>
  </si>
  <si>
    <t>Total LP Profit Post-Catch Up if Available</t>
  </si>
  <si>
    <t>Total Tier 1 + Catch Up Cash Flow</t>
  </si>
  <si>
    <t>Total Tier 1 + Catch Up Cash Flow to LP</t>
  </si>
  <si>
    <t>Total Tier 1 + Catch Up Cash Flow to Sponsor</t>
  </si>
  <si>
    <t>Sponsor Catch Up (% of total distributions)</t>
  </si>
  <si>
    <t>Tier 1 Payment on Interest</t>
  </si>
  <si>
    <t>Tier 2 Payment on Interest</t>
  </si>
  <si>
    <t>Tier 2</t>
  </si>
  <si>
    <t>Cash Available For LP</t>
  </si>
  <si>
    <t>Tier 2 - LP Cash Flow Combined</t>
  </si>
  <si>
    <t>Tier 2 - LP1 Cash Flow</t>
  </si>
  <si>
    <t>Tier 2 - LP2 Cash Flow</t>
  </si>
  <si>
    <t>Tier 3</t>
  </si>
  <si>
    <t>Tier 3 Payments on Interest</t>
  </si>
  <si>
    <t>Tier 3 - LP Cash Flow Combined</t>
  </si>
  <si>
    <t>Tier 3 - LP1 Cash Flow</t>
  </si>
  <si>
    <t>Tier 3 - LP2 Cash Flow</t>
  </si>
  <si>
    <t>Remaining Cash Flow</t>
  </si>
  <si>
    <t>Profit Split</t>
  </si>
  <si>
    <t>Total Tier 3 Cash Flow</t>
  </si>
  <si>
    <t>Total Tier 2 Cash Flow</t>
  </si>
  <si>
    <t>Total Cash Flow</t>
  </si>
  <si>
    <t xml:space="preserve">Remainder - LP Cash Flow - Combined </t>
  </si>
  <si>
    <t>Total Catch Up 1 Cash Flow - if Available</t>
  </si>
  <si>
    <t>Waterfall Model</t>
  </si>
  <si>
    <t>Returns</t>
  </si>
  <si>
    <t>Catch Up</t>
  </si>
  <si>
    <t>Tier 2 Payment</t>
  </si>
  <si>
    <t>Tier 3 Payment</t>
  </si>
  <si>
    <t>Total Investment</t>
  </si>
  <si>
    <t>Catch Up Paid Funds</t>
  </si>
  <si>
    <t>Sponsor Fund Level Cash Flow</t>
  </si>
  <si>
    <t>Sponsor Fund Level + Fees Cash Flow</t>
  </si>
  <si>
    <t>Sponsor Distribution Calcs</t>
  </si>
  <si>
    <t>Tier 1 - Sponsor Cash Flow</t>
  </si>
  <si>
    <t>Total Sponsor Profit Pre-Catch Up</t>
  </si>
  <si>
    <t>Sponsor Fund Level + Fees</t>
  </si>
  <si>
    <t>Total Sponsor Profit Post-Catch Up if Available</t>
  </si>
  <si>
    <t>Cash Available For Sponsor</t>
  </si>
  <si>
    <t>Combined Sponsor Distribution Calcs</t>
  </si>
  <si>
    <t>Tier 2 - Sponsor Cash Flow</t>
  </si>
  <si>
    <t>Tier 3 - Sponsor Cash Flow</t>
  </si>
  <si>
    <t>Remainder - Sponsor Cash Flow</t>
  </si>
  <si>
    <t>Sponsor Fees</t>
  </si>
  <si>
    <t>Mortgage Constant</t>
  </si>
  <si>
    <t>Levered IRR</t>
  </si>
  <si>
    <t>Major Capital Improvement - Less % of Loan Coverage</t>
  </si>
  <si>
    <t>Learn to Use the Model</t>
  </si>
  <si>
    <t>View and Download Other Real Estate Waterfall Models</t>
  </si>
  <si>
    <t>JV Waterfall Model with Catch 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</si>
</sst>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41" formatCode="_(* #,##0_);_(* \(#,##0\);_(* &quot;-&quot;_);_(@_)"/>
    <numFmt numFmtId="43" formatCode="_(* #,##0.00_);_(* \(#,##0.00\);_(* &quot;-&quot;??_);_(@_)"/>
    <numFmt numFmtId="164" formatCode="General\ &quot;% of property value per year&quot;"/>
    <numFmt numFmtId="165" formatCode="&quot;$&quot;#,##0"/>
    <numFmt numFmtId="166" formatCode="General\ &quot;Years&quot;"/>
    <numFmt numFmtId="167" formatCode="&quot;Year&quot;\ General\ "/>
    <numFmt numFmtId="168" formatCode="#.##&quot;x&quot;"/>
    <numFmt numFmtId="169" formatCode="0.00&quot;x&quot;"/>
    <numFmt numFmtId="170" formatCode="&quot;Year&quot;\ General"/>
    <numFmt numFmtId="171" formatCode="_(* #,##0_);_(* \(#,##0\);_(* &quot;-&quot;??_);_(@_)"/>
    <numFmt numFmtId="172" formatCode="0.0000"/>
    <numFmt numFmtId="173" formatCode="0.000%"/>
    <numFmt numFmtId="174" formatCode="0.0000000"/>
    <numFmt numFmtId="175" formatCode="_(* #,##0.000_);_(* \(#,##0.000\);_(* &quot;-&quot;_);_(@_)"/>
    <numFmt numFmtId="176" formatCode="0.0000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4"/>
      <name val="Calibri"/>
      <family val="2"/>
      <scheme val="minor"/>
    </font>
    <font>
      <b/>
      <sz val="11"/>
      <color theme="4"/>
      <name val="Calibri"/>
      <family val="2"/>
      <scheme val="minor"/>
    </font>
    <font>
      <b/>
      <sz val="20"/>
      <color theme="1"/>
      <name val="Calibri"/>
      <family val="2"/>
      <scheme val="minor"/>
    </font>
    <font>
      <sz val="11"/>
      <name val="Calibri"/>
      <family val="2"/>
      <scheme val="minor"/>
    </font>
    <font>
      <i/>
      <sz val="11"/>
      <color theme="0"/>
      <name val="Calibri"/>
      <family val="2"/>
      <scheme val="minor"/>
    </font>
    <font>
      <sz val="11"/>
      <color theme="6" tint="0.79998168889431442"/>
      <name val="Calibri"/>
      <family val="2"/>
      <scheme val="minor"/>
    </font>
    <font>
      <i/>
      <sz val="14"/>
      <color theme="0"/>
      <name val="Calibri"/>
      <family val="2"/>
      <scheme val="minor"/>
    </font>
    <font>
      <sz val="11"/>
      <color theme="0" tint="-0.249977111117893"/>
      <name val="Calibri"/>
      <family val="2"/>
      <scheme val="minor"/>
    </font>
    <font>
      <sz val="11"/>
      <color theme="2"/>
      <name val="Calibri"/>
      <family val="2"/>
      <scheme val="minor"/>
    </font>
    <font>
      <sz val="11"/>
      <color theme="8"/>
      <name val="Calibri"/>
      <family val="2"/>
      <scheme val="minor"/>
    </font>
    <font>
      <sz val="14"/>
      <color theme="0"/>
      <name val="Calibri"/>
      <family val="2"/>
      <scheme val="minor"/>
    </font>
    <font>
      <b/>
      <sz val="14"/>
      <color theme="0"/>
      <name val="Calibri"/>
      <family val="2"/>
      <scheme val="minor"/>
    </font>
    <font>
      <u/>
      <sz val="11"/>
      <color theme="1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2"/>
        <bgColor indexed="64"/>
      </patternFill>
    </fill>
    <fill>
      <patternFill patternType="solid">
        <fgColor theme="0" tint="-4.9989318521683403E-2"/>
        <bgColor indexed="64"/>
      </patternFill>
    </fill>
  </fills>
  <borders count="2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s>
  <cellStyleXfs count="3">
    <xf numFmtId="0" fontId="0" fillId="0" borderId="0"/>
    <xf numFmtId="9" fontId="1" fillId="0" borderId="0" applyFont="0" applyFill="0" applyBorder="0" applyAlignment="0" applyProtection="0"/>
    <xf numFmtId="0" fontId="16" fillId="0" borderId="0" applyNumberFormat="0" applyFill="0" applyBorder="0" applyAlignment="0" applyProtection="0"/>
  </cellStyleXfs>
  <cellXfs count="459">
    <xf numFmtId="0" fontId="0" fillId="0" borderId="0" xfId="0"/>
    <xf numFmtId="0" fontId="0" fillId="2" borderId="0" xfId="0" applyFill="1"/>
    <xf numFmtId="0" fontId="0" fillId="2" borderId="3" xfId="0" applyFill="1" applyBorder="1"/>
    <xf numFmtId="0" fontId="0" fillId="2" borderId="3" xfId="0" applyFill="1" applyBorder="1" applyAlignment="1">
      <alignment horizontal="left" indent="1"/>
    </xf>
    <xf numFmtId="0" fontId="0" fillId="2" borderId="5" xfId="0" applyFill="1" applyBorder="1"/>
    <xf numFmtId="0" fontId="0" fillId="2" borderId="8" xfId="0" applyFill="1" applyBorder="1"/>
    <xf numFmtId="0" fontId="0" fillId="2" borderId="12" xfId="0" applyFill="1" applyBorder="1"/>
    <xf numFmtId="0" fontId="0" fillId="2" borderId="13" xfId="0" applyFill="1" applyBorder="1"/>
    <xf numFmtId="37" fontId="4" fillId="2" borderId="4" xfId="0" applyNumberFormat="1" applyFont="1" applyFill="1" applyBorder="1" applyAlignment="1">
      <alignment horizontal="center"/>
    </xf>
    <xf numFmtId="9" fontId="4" fillId="2" borderId="4" xfId="0" applyNumberFormat="1" applyFont="1" applyFill="1" applyBorder="1" applyAlignment="1">
      <alignment horizontal="center"/>
    </xf>
    <xf numFmtId="10" fontId="4" fillId="2" borderId="4" xfId="0" applyNumberFormat="1" applyFont="1" applyFill="1" applyBorder="1" applyAlignment="1">
      <alignment horizontal="center"/>
    </xf>
    <xf numFmtId="0" fontId="4" fillId="2" borderId="4" xfId="0" applyFont="1" applyFill="1" applyBorder="1" applyAlignment="1">
      <alignment horizontal="center"/>
    </xf>
    <xf numFmtId="164" fontId="4" fillId="2" borderId="4" xfId="0" applyNumberFormat="1" applyFont="1"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0" fillId="2" borderId="5" xfId="0" applyFill="1" applyBorder="1" applyAlignment="1">
      <alignment horizontal="center"/>
    </xf>
    <xf numFmtId="37" fontId="0" fillId="2" borderId="4" xfId="0" applyNumberFormat="1" applyFill="1" applyBorder="1" applyAlignment="1">
      <alignment horizontal="center"/>
    </xf>
    <xf numFmtId="37" fontId="0" fillId="2" borderId="6" xfId="0" applyNumberFormat="1" applyFill="1" applyBorder="1" applyAlignment="1">
      <alignment horizontal="center"/>
    </xf>
    <xf numFmtId="0" fontId="2" fillId="3" borderId="3" xfId="0" applyFont="1" applyFill="1" applyBorder="1" applyAlignment="1">
      <alignment horizontal="left"/>
    </xf>
    <xf numFmtId="37" fontId="0" fillId="2" borderId="0" xfId="0" applyNumberFormat="1" applyFill="1" applyBorder="1"/>
    <xf numFmtId="0" fontId="0" fillId="2" borderId="0" xfId="0" applyFill="1" applyBorder="1"/>
    <xf numFmtId="0" fontId="0" fillId="2" borderId="15" xfId="0" applyFill="1" applyBorder="1"/>
    <xf numFmtId="10" fontId="3" fillId="2" borderId="15" xfId="1" applyNumberFormat="1" applyFont="1" applyFill="1" applyBorder="1"/>
    <xf numFmtId="10" fontId="3" fillId="2" borderId="0" xfId="0" applyNumberFormat="1" applyFont="1" applyFill="1" applyBorder="1"/>
    <xf numFmtId="37" fontId="0" fillId="2" borderId="0" xfId="0" applyNumberFormat="1" applyFill="1" applyBorder="1" applyAlignment="1">
      <alignment horizontal="center"/>
    </xf>
    <xf numFmtId="1" fontId="0" fillId="2" borderId="0" xfId="0" applyNumberFormat="1" applyFill="1" applyBorder="1" applyAlignment="1">
      <alignment horizontal="center"/>
    </xf>
    <xf numFmtId="37" fontId="0" fillId="2" borderId="15" xfId="0" applyNumberFormat="1" applyFill="1" applyBorder="1" applyAlignment="1">
      <alignment horizontal="center"/>
    </xf>
    <xf numFmtId="1" fontId="0" fillId="2" borderId="15" xfId="0" applyNumberFormat="1" applyFill="1" applyBorder="1" applyAlignment="1">
      <alignment horizontal="center"/>
    </xf>
    <xf numFmtId="0" fontId="8" fillId="3" borderId="3" xfId="0" applyFont="1" applyFill="1" applyBorder="1" applyAlignment="1">
      <alignment horizontal="center"/>
    </xf>
    <xf numFmtId="0" fontId="2" fillId="3" borderId="1" xfId="0" applyFont="1" applyFill="1" applyBorder="1"/>
    <xf numFmtId="0" fontId="2" fillId="3" borderId="14" xfId="0" applyFont="1" applyFill="1" applyBorder="1"/>
    <xf numFmtId="0" fontId="2" fillId="3" borderId="0" xfId="0" applyFont="1" applyFill="1" applyBorder="1"/>
    <xf numFmtId="37" fontId="5" fillId="2" borderId="16" xfId="0" applyNumberFormat="1" applyFont="1" applyFill="1" applyBorder="1" applyAlignment="1">
      <alignment horizontal="center"/>
    </xf>
    <xf numFmtId="6" fontId="3" fillId="2" borderId="15" xfId="0" applyNumberFormat="1" applyFont="1" applyFill="1" applyBorder="1" applyAlignment="1">
      <alignment horizontal="center"/>
    </xf>
    <xf numFmtId="0" fontId="0" fillId="3" borderId="2" xfId="0" applyFill="1" applyBorder="1"/>
    <xf numFmtId="0" fontId="0" fillId="3" borderId="3" xfId="0" applyFill="1" applyBorder="1"/>
    <xf numFmtId="0" fontId="0" fillId="3" borderId="0" xfId="0" applyFill="1" applyBorder="1"/>
    <xf numFmtId="6" fontId="3" fillId="2" borderId="6" xfId="0" applyNumberFormat="1" applyFont="1" applyFill="1" applyBorder="1" applyAlignment="1">
      <alignment horizontal="center"/>
    </xf>
    <xf numFmtId="0" fontId="2" fillId="3" borderId="3" xfId="0" applyFont="1" applyFill="1" applyBorder="1"/>
    <xf numFmtId="10" fontId="0" fillId="2" borderId="0" xfId="1" applyNumberFormat="1" applyFont="1" applyFill="1" applyBorder="1" applyAlignment="1">
      <alignment horizontal="center"/>
    </xf>
    <xf numFmtId="10" fontId="0" fillId="2" borderId="4" xfId="1" applyNumberFormat="1" applyFont="1" applyFill="1" applyBorder="1" applyAlignment="1">
      <alignment horizontal="center"/>
    </xf>
    <xf numFmtId="10" fontId="0" fillId="2" borderId="15" xfId="1" applyNumberFormat="1" applyFont="1" applyFill="1" applyBorder="1" applyAlignment="1">
      <alignment horizontal="center"/>
    </xf>
    <xf numFmtId="10" fontId="0" fillId="2" borderId="6" xfId="1" applyNumberFormat="1" applyFont="1" applyFill="1" applyBorder="1" applyAlignment="1">
      <alignment horizontal="center"/>
    </xf>
    <xf numFmtId="165" fontId="5" fillId="2" borderId="16" xfId="0" applyNumberFormat="1" applyFont="1" applyFill="1" applyBorder="1" applyAlignment="1">
      <alignment horizontal="center"/>
    </xf>
    <xf numFmtId="6" fontId="3" fillId="5" borderId="15" xfId="0" applyNumberFormat="1" applyFont="1" applyFill="1" applyBorder="1" applyAlignment="1">
      <alignment horizontal="center"/>
    </xf>
    <xf numFmtId="6" fontId="3" fillId="5" borderId="4" xfId="0" applyNumberFormat="1" applyFont="1" applyFill="1" applyBorder="1" applyAlignment="1">
      <alignment horizontal="center"/>
    </xf>
    <xf numFmtId="6" fontId="3" fillId="5" borderId="6" xfId="0" applyNumberFormat="1" applyFont="1" applyFill="1" applyBorder="1" applyAlignment="1">
      <alignment horizontal="center"/>
    </xf>
    <xf numFmtId="10" fontId="9" fillId="5" borderId="0" xfId="0" applyNumberFormat="1" applyFont="1" applyFill="1" applyBorder="1"/>
    <xf numFmtId="37" fontId="0" fillId="2" borderId="15" xfId="0" applyNumberFormat="1" applyFill="1" applyBorder="1"/>
    <xf numFmtId="0" fontId="0" fillId="2" borderId="1" xfId="0" applyFill="1" applyBorder="1"/>
    <xf numFmtId="0" fontId="0" fillId="2" borderId="14" xfId="0" applyFill="1" applyBorder="1"/>
    <xf numFmtId="10" fontId="4" fillId="2" borderId="2" xfId="0" applyNumberFormat="1" applyFont="1" applyFill="1" applyBorder="1" applyAlignment="1">
      <alignment horizontal="center"/>
    </xf>
    <xf numFmtId="0" fontId="0" fillId="2" borderId="3" xfId="0" applyFill="1" applyBorder="1" applyAlignment="1">
      <alignment horizontal="left"/>
    </xf>
    <xf numFmtId="0" fontId="2" fillId="3" borderId="14" xfId="0" applyFont="1" applyFill="1" applyBorder="1" applyAlignment="1">
      <alignment horizontal="left"/>
    </xf>
    <xf numFmtId="167" fontId="4" fillId="2" borderId="4" xfId="0" applyNumberFormat="1" applyFont="1" applyFill="1" applyBorder="1" applyAlignment="1">
      <alignment horizontal="center"/>
    </xf>
    <xf numFmtId="0" fontId="0" fillId="2" borderId="3" xfId="0" applyFill="1" applyBorder="1" applyAlignment="1">
      <alignment horizontal="left" indent="2"/>
    </xf>
    <xf numFmtId="0" fontId="2" fillId="3" borderId="1" xfId="0" applyFont="1" applyFill="1" applyBorder="1" applyAlignment="1"/>
    <xf numFmtId="0" fontId="2" fillId="3" borderId="14" xfId="0" applyFont="1" applyFill="1" applyBorder="1" applyAlignment="1"/>
    <xf numFmtId="0" fontId="2" fillId="3" borderId="2" xfId="0" applyFont="1" applyFill="1" applyBorder="1" applyAlignment="1"/>
    <xf numFmtId="0" fontId="2" fillId="3" borderId="0" xfId="0" applyFont="1" applyFill="1" applyBorder="1" applyAlignment="1">
      <alignment horizontal="center"/>
    </xf>
    <xf numFmtId="0" fontId="2" fillId="3" borderId="4" xfId="0" applyFont="1" applyFill="1" applyBorder="1" applyAlignment="1">
      <alignment horizontal="center"/>
    </xf>
    <xf numFmtId="0" fontId="8" fillId="3" borderId="0" xfId="0" applyFont="1" applyFill="1" applyBorder="1" applyAlignment="1">
      <alignment horizontal="center"/>
    </xf>
    <xf numFmtId="0" fontId="8" fillId="3" borderId="4" xfId="0" applyFont="1" applyFill="1" applyBorder="1" applyAlignment="1">
      <alignment horizontal="center"/>
    </xf>
    <xf numFmtId="0" fontId="2" fillId="3" borderId="1" xfId="0" applyFont="1" applyFill="1" applyBorder="1" applyAlignment="1">
      <alignment horizontal="left"/>
    </xf>
    <xf numFmtId="0" fontId="2" fillId="3" borderId="2" xfId="0" applyFont="1" applyFill="1" applyBorder="1" applyAlignment="1">
      <alignment horizontal="left"/>
    </xf>
    <xf numFmtId="37" fontId="3" fillId="2" borderId="0" xfId="0" applyNumberFormat="1" applyFont="1" applyFill="1" applyBorder="1"/>
    <xf numFmtId="3" fontId="4" fillId="2" borderId="4" xfId="0" applyNumberFormat="1" applyFont="1" applyFill="1" applyBorder="1" applyAlignment="1">
      <alignment horizontal="center"/>
    </xf>
    <xf numFmtId="0" fontId="3" fillId="2" borderId="3" xfId="0" applyFont="1" applyFill="1" applyBorder="1"/>
    <xf numFmtId="165" fontId="0" fillId="2" borderId="15" xfId="0" applyNumberFormat="1" applyFill="1" applyBorder="1"/>
    <xf numFmtId="0" fontId="3" fillId="2" borderId="0" xfId="0" applyFont="1" applyFill="1" applyBorder="1"/>
    <xf numFmtId="168" fontId="3" fillId="2" borderId="0" xfId="0" applyNumberFormat="1" applyFont="1" applyFill="1" applyBorder="1"/>
    <xf numFmtId="0" fontId="0" fillId="2" borderId="5" xfId="0" applyFill="1" applyBorder="1" applyAlignment="1">
      <alignment horizontal="left"/>
    </xf>
    <xf numFmtId="37" fontId="0" fillId="2" borderId="0" xfId="0" quotePrefix="1" applyNumberFormat="1" applyFill="1" applyBorder="1"/>
    <xf numFmtId="39" fontId="0" fillId="2" borderId="0" xfId="0" quotePrefix="1" applyNumberFormat="1" applyFill="1" applyBorder="1"/>
    <xf numFmtId="0" fontId="0" fillId="2" borderId="3" xfId="0" applyFill="1" applyBorder="1" applyAlignment="1">
      <alignment vertical="center"/>
    </xf>
    <xf numFmtId="0" fontId="0" fillId="2" borderId="0" xfId="0" applyFill="1" applyBorder="1" applyAlignment="1">
      <alignment vertical="center"/>
    </xf>
    <xf numFmtId="37" fontId="0" fillId="2" borderId="0" xfId="0" applyNumberFormat="1" applyFill="1" applyBorder="1" applyAlignment="1">
      <alignment vertical="center"/>
    </xf>
    <xf numFmtId="39" fontId="0" fillId="2" borderId="0" xfId="0" applyNumberFormat="1" applyFill="1" applyBorder="1"/>
    <xf numFmtId="37" fontId="0" fillId="2" borderId="4" xfId="0" applyNumberFormat="1" applyFill="1" applyBorder="1"/>
    <xf numFmtId="37" fontId="0" fillId="2" borderId="6" xfId="0" applyNumberFormat="1" applyFill="1" applyBorder="1"/>
    <xf numFmtId="37" fontId="3" fillId="2" borderId="4" xfId="0" applyNumberFormat="1" applyFont="1" applyFill="1" applyBorder="1"/>
    <xf numFmtId="165" fontId="0" fillId="2" borderId="6" xfId="0" applyNumberFormat="1" applyFill="1" applyBorder="1"/>
    <xf numFmtId="0" fontId="0" fillId="2" borderId="0" xfId="0" applyFill="1" applyBorder="1" applyAlignment="1">
      <alignment horizontal="center"/>
    </xf>
    <xf numFmtId="0" fontId="0" fillId="2" borderId="4" xfId="0" applyFill="1" applyBorder="1"/>
    <xf numFmtId="0" fontId="0" fillId="2" borderId="15" xfId="0" applyFill="1" applyBorder="1" applyAlignment="1">
      <alignment horizontal="center"/>
    </xf>
    <xf numFmtId="10" fontId="0" fillId="2" borderId="1" xfId="0" applyNumberFormat="1" applyFill="1" applyBorder="1" applyAlignment="1">
      <alignment horizontal="center"/>
    </xf>
    <xf numFmtId="168" fontId="0" fillId="2" borderId="14" xfId="0" applyNumberFormat="1" applyFill="1" applyBorder="1" applyAlignment="1">
      <alignment horizontal="center"/>
    </xf>
    <xf numFmtId="169" fontId="0" fillId="2" borderId="2" xfId="0" applyNumberFormat="1" applyFill="1" applyBorder="1" applyAlignment="1">
      <alignment horizontal="center"/>
    </xf>
    <xf numFmtId="10" fontId="0" fillId="2" borderId="3" xfId="0" applyNumberFormat="1" applyFill="1" applyBorder="1" applyAlignment="1">
      <alignment horizontal="center"/>
    </xf>
    <xf numFmtId="168" fontId="0" fillId="2" borderId="0" xfId="0" applyNumberFormat="1" applyFill="1" applyBorder="1" applyAlignment="1">
      <alignment horizontal="center"/>
    </xf>
    <xf numFmtId="169" fontId="0" fillId="2" borderId="4" xfId="0" applyNumberFormat="1" applyFill="1" applyBorder="1" applyAlignment="1">
      <alignment horizontal="center"/>
    </xf>
    <xf numFmtId="10" fontId="0" fillId="2" borderId="5" xfId="0" applyNumberFormat="1" applyFill="1" applyBorder="1" applyAlignment="1">
      <alignment horizontal="center"/>
    </xf>
    <xf numFmtId="168" fontId="0" fillId="2" borderId="15" xfId="0" applyNumberFormat="1" applyFill="1" applyBorder="1" applyAlignment="1">
      <alignment horizontal="center"/>
    </xf>
    <xf numFmtId="169" fontId="0" fillId="2" borderId="6" xfId="0" applyNumberFormat="1" applyFill="1" applyBorder="1" applyAlignment="1">
      <alignment horizontal="center"/>
    </xf>
    <xf numFmtId="0" fontId="8" fillId="3" borderId="3" xfId="0" applyFont="1" applyFill="1" applyBorder="1"/>
    <xf numFmtId="0" fontId="8" fillId="3" borderId="0" xfId="0" applyFont="1" applyFill="1" applyBorder="1"/>
    <xf numFmtId="0" fontId="3" fillId="4" borderId="0" xfId="0" applyFont="1" applyFill="1" applyBorder="1"/>
    <xf numFmtId="10" fontId="3" fillId="4" borderId="0" xfId="0" applyNumberFormat="1" applyFont="1" applyFill="1" applyBorder="1" applyAlignment="1">
      <alignment horizontal="center"/>
    </xf>
    <xf numFmtId="168" fontId="3" fillId="4" borderId="0" xfId="0" applyNumberFormat="1" applyFont="1" applyFill="1" applyBorder="1" applyAlignment="1">
      <alignment horizontal="center"/>
    </xf>
    <xf numFmtId="169" fontId="3" fillId="4" borderId="4" xfId="0" applyNumberFormat="1" applyFont="1" applyFill="1" applyBorder="1" applyAlignment="1">
      <alignment horizontal="center"/>
    </xf>
    <xf numFmtId="170" fontId="3" fillId="4" borderId="0" xfId="0" applyNumberFormat="1" applyFont="1" applyFill="1" applyBorder="1" applyAlignment="1">
      <alignment horizontal="center"/>
    </xf>
    <xf numFmtId="170" fontId="3" fillId="4" borderId="15" xfId="0" applyNumberFormat="1" applyFont="1" applyFill="1" applyBorder="1" applyAlignment="1">
      <alignment horizontal="center"/>
    </xf>
    <xf numFmtId="0" fontId="0" fillId="3" borderId="14" xfId="0" applyFill="1" applyBorder="1"/>
    <xf numFmtId="0" fontId="0" fillId="6" borderId="0" xfId="0" applyFill="1"/>
    <xf numFmtId="6" fontId="4" fillId="2" borderId="0" xfId="0" applyNumberFormat="1" applyFont="1" applyFill="1" applyBorder="1" applyAlignment="1">
      <alignment horizontal="center"/>
    </xf>
    <xf numFmtId="9" fontId="4" fillId="2" borderId="6" xfId="0" applyNumberFormat="1" applyFont="1" applyFill="1" applyBorder="1" applyAlignment="1">
      <alignment horizontal="center"/>
    </xf>
    <xf numFmtId="10" fontId="4" fillId="2" borderId="6" xfId="0" applyNumberFormat="1" applyFont="1" applyFill="1" applyBorder="1" applyAlignment="1">
      <alignment horizontal="center"/>
    </xf>
    <xf numFmtId="10" fontId="5" fillId="2" borderId="2" xfId="0" applyNumberFormat="1" applyFont="1" applyFill="1" applyBorder="1" applyAlignment="1">
      <alignment horizontal="center"/>
    </xf>
    <xf numFmtId="10" fontId="5" fillId="2" borderId="4" xfId="0" applyNumberFormat="1" applyFont="1" applyFill="1" applyBorder="1" applyAlignment="1">
      <alignment horizontal="center"/>
    </xf>
    <xf numFmtId="6" fontId="5" fillId="2" borderId="4" xfId="0" applyNumberFormat="1" applyFont="1" applyFill="1" applyBorder="1" applyAlignment="1">
      <alignment horizontal="center"/>
    </xf>
    <xf numFmtId="6" fontId="5" fillId="2" borderId="6" xfId="0" applyNumberFormat="1" applyFont="1" applyFill="1" applyBorder="1" applyAlignment="1">
      <alignment horizontal="center"/>
    </xf>
    <xf numFmtId="10" fontId="4" fillId="2" borderId="0" xfId="0" applyNumberFormat="1" applyFont="1" applyFill="1" applyBorder="1" applyAlignment="1">
      <alignment horizontal="center"/>
    </xf>
    <xf numFmtId="9" fontId="4" fillId="2" borderId="0" xfId="0" applyNumberFormat="1" applyFont="1" applyFill="1" applyBorder="1" applyAlignment="1">
      <alignment horizontal="center"/>
    </xf>
    <xf numFmtId="0" fontId="0" fillId="2" borderId="1" xfId="0" applyFill="1" applyBorder="1" applyAlignment="1">
      <alignment horizontal="left"/>
    </xf>
    <xf numFmtId="0" fontId="0" fillId="2" borderId="17" xfId="0" applyFill="1" applyBorder="1"/>
    <xf numFmtId="166" fontId="5" fillId="2" borderId="18" xfId="0" applyNumberFormat="1" applyFont="1" applyFill="1" applyBorder="1" applyAlignment="1">
      <alignment horizontal="center"/>
    </xf>
    <xf numFmtId="37" fontId="0" fillId="2" borderId="4" xfId="0" applyNumberFormat="1" applyFill="1" applyBorder="1" applyAlignment="1">
      <alignment vertical="center"/>
    </xf>
    <xf numFmtId="39" fontId="0" fillId="2" borderId="4" xfId="0" quotePrefix="1" applyNumberFormat="1" applyFill="1" applyBorder="1"/>
    <xf numFmtId="10" fontId="3" fillId="2" borderId="6" xfId="1" applyNumberFormat="1" applyFont="1" applyFill="1" applyBorder="1"/>
    <xf numFmtId="37" fontId="0" fillId="2" borderId="4" xfId="0" quotePrefix="1" applyNumberFormat="1" applyFill="1" applyBorder="1"/>
    <xf numFmtId="39" fontId="0" fillId="2" borderId="4" xfId="0" applyNumberFormat="1" applyFill="1" applyBorder="1"/>
    <xf numFmtId="0" fontId="11" fillId="6" borderId="0" xfId="0" applyFont="1" applyFill="1"/>
    <xf numFmtId="0" fontId="0" fillId="6" borderId="0" xfId="0" applyFill="1" applyBorder="1"/>
    <xf numFmtId="6" fontId="4" fillId="6" borderId="0" xfId="0" applyNumberFormat="1" applyFont="1" applyFill="1" applyBorder="1" applyAlignment="1">
      <alignment horizontal="center"/>
    </xf>
    <xf numFmtId="0" fontId="0" fillId="2" borderId="11" xfId="0" applyFill="1" applyBorder="1"/>
    <xf numFmtId="0" fontId="0" fillId="2" borderId="19" xfId="0" applyFill="1" applyBorder="1"/>
    <xf numFmtId="0" fontId="0" fillId="2" borderId="20" xfId="0" applyFill="1" applyBorder="1"/>
    <xf numFmtId="0" fontId="0" fillId="2" borderId="21" xfId="0" applyFill="1" applyBorder="1"/>
    <xf numFmtId="0" fontId="0" fillId="6" borderId="21" xfId="0" applyFill="1" applyBorder="1"/>
    <xf numFmtId="0" fontId="0" fillId="2" borderId="22" xfId="0" applyFill="1" applyBorder="1"/>
    <xf numFmtId="0" fontId="0" fillId="6" borderId="22" xfId="0" applyFill="1" applyBorder="1"/>
    <xf numFmtId="0" fontId="0" fillId="2" borderId="23" xfId="0" applyFill="1" applyBorder="1"/>
    <xf numFmtId="0" fontId="0" fillId="2" borderId="5" xfId="0" applyFill="1" applyBorder="1" applyAlignment="1">
      <alignment horizontal="left" indent="1"/>
    </xf>
    <xf numFmtId="10" fontId="0" fillId="2" borderId="0" xfId="0" applyNumberFormat="1" applyFont="1" applyFill="1" applyBorder="1" applyAlignment="1">
      <alignment horizontal="center"/>
    </xf>
    <xf numFmtId="168" fontId="0" fillId="2" borderId="0" xfId="0" applyNumberFormat="1" applyFont="1" applyFill="1" applyBorder="1" applyAlignment="1">
      <alignment horizontal="center"/>
    </xf>
    <xf numFmtId="169" fontId="0" fillId="2" borderId="0" xfId="0" applyNumberFormat="1" applyFont="1" applyFill="1" applyBorder="1" applyAlignment="1">
      <alignment horizontal="center"/>
    </xf>
    <xf numFmtId="10" fontId="0" fillId="2" borderId="6" xfId="0" applyNumberFormat="1" applyFill="1" applyBorder="1" applyAlignment="1">
      <alignment horizontal="center"/>
    </xf>
    <xf numFmtId="10" fontId="0" fillId="2" borderId="0" xfId="0" applyNumberFormat="1" applyFill="1" applyBorder="1"/>
    <xf numFmtId="10" fontId="0" fillId="2" borderId="0" xfId="0" applyNumberFormat="1" applyFill="1" applyBorder="1" applyAlignment="1">
      <alignment horizontal="center"/>
    </xf>
    <xf numFmtId="39" fontId="0" fillId="2" borderId="14" xfId="0" applyNumberFormat="1" applyFill="1" applyBorder="1"/>
    <xf numFmtId="39" fontId="0" fillId="2" borderId="2" xfId="0" applyNumberFormat="1" applyFill="1" applyBorder="1"/>
    <xf numFmtId="39" fontId="0" fillId="2" borderId="15" xfId="0" applyNumberFormat="1" applyFill="1" applyBorder="1"/>
    <xf numFmtId="10" fontId="0" fillId="2" borderId="15" xfId="1" applyNumberFormat="1" applyFont="1" applyFill="1" applyBorder="1"/>
    <xf numFmtId="39" fontId="0" fillId="2" borderId="6" xfId="0" applyNumberFormat="1" applyFill="1" applyBorder="1"/>
    <xf numFmtId="39" fontId="0" fillId="2" borderId="0" xfId="0" applyNumberFormat="1" applyFill="1" applyBorder="1" applyAlignment="1">
      <alignment horizontal="center"/>
    </xf>
    <xf numFmtId="10" fontId="0" fillId="2" borderId="4" xfId="0" applyNumberFormat="1" applyFont="1" applyFill="1" applyBorder="1" applyAlignment="1">
      <alignment horizontal="center"/>
    </xf>
    <xf numFmtId="168" fontId="0" fillId="2" borderId="4" xfId="0" applyNumberFormat="1" applyFont="1" applyFill="1" applyBorder="1" applyAlignment="1">
      <alignment horizontal="center"/>
    </xf>
    <xf numFmtId="10" fontId="0" fillId="2" borderId="4" xfId="0" applyNumberFormat="1" applyFill="1" applyBorder="1" applyAlignment="1">
      <alignment horizontal="center"/>
    </xf>
    <xf numFmtId="39" fontId="0" fillId="2" borderId="4" xfId="0" applyNumberFormat="1" applyFill="1" applyBorder="1" applyAlignment="1">
      <alignment horizontal="center"/>
    </xf>
    <xf numFmtId="37" fontId="7" fillId="2" borderId="4" xfId="0" applyNumberFormat="1" applyFont="1" applyFill="1" applyBorder="1" applyAlignment="1">
      <alignment horizontal="center"/>
    </xf>
    <xf numFmtId="3" fontId="7" fillId="2" borderId="4" xfId="0" applyNumberFormat="1" applyFont="1" applyFill="1" applyBorder="1" applyAlignment="1">
      <alignment horizontal="center"/>
    </xf>
    <xf numFmtId="0" fontId="2" fillId="3" borderId="7" xfId="0" applyFont="1" applyFill="1" applyBorder="1" applyAlignment="1"/>
    <xf numFmtId="0" fontId="2" fillId="3" borderId="8" xfId="0" applyFont="1" applyFill="1" applyBorder="1" applyAlignment="1">
      <alignment horizontal="left"/>
    </xf>
    <xf numFmtId="0" fontId="0" fillId="2" borderId="9" xfId="0" applyFill="1" applyBorder="1"/>
    <xf numFmtId="0" fontId="0" fillId="2" borderId="8" xfId="0" applyFill="1" applyBorder="1" applyAlignment="1">
      <alignment horizontal="center"/>
    </xf>
    <xf numFmtId="9" fontId="0" fillId="2" borderId="8" xfId="0" applyNumberFormat="1" applyFill="1" applyBorder="1" applyAlignment="1">
      <alignment horizontal="center"/>
    </xf>
    <xf numFmtId="9" fontId="4" fillId="2" borderId="8" xfId="0" applyNumberFormat="1" applyFont="1" applyFill="1" applyBorder="1" applyAlignment="1">
      <alignment horizontal="center"/>
    </xf>
    <xf numFmtId="0" fontId="0" fillId="2" borderId="0" xfId="0" applyFont="1" applyFill="1" applyBorder="1"/>
    <xf numFmtId="37" fontId="4" fillId="2" borderId="0" xfId="0" applyNumberFormat="1" applyFont="1" applyFill="1" applyBorder="1"/>
    <xf numFmtId="37" fontId="4" fillId="2" borderId="15" xfId="0" applyNumberFormat="1" applyFont="1" applyFill="1" applyBorder="1"/>
    <xf numFmtId="37" fontId="4" fillId="2" borderId="4" xfId="0" applyNumberFormat="1" applyFont="1" applyFill="1" applyBorder="1"/>
    <xf numFmtId="0" fontId="0" fillId="2" borderId="3" xfId="0" applyFont="1" applyFill="1" applyBorder="1"/>
    <xf numFmtId="2" fontId="3" fillId="2" borderId="0" xfId="0" applyNumberFormat="1" applyFont="1" applyFill="1" applyBorder="1"/>
    <xf numFmtId="3" fontId="3" fillId="4" borderId="0" xfId="0" applyNumberFormat="1" applyFont="1" applyFill="1" applyBorder="1" applyAlignment="1">
      <alignment horizontal="center"/>
    </xf>
    <xf numFmtId="3" fontId="0" fillId="2" borderId="14" xfId="0" applyNumberFormat="1" applyFill="1" applyBorder="1" applyAlignment="1">
      <alignment horizontal="center"/>
    </xf>
    <xf numFmtId="3" fontId="0" fillId="2" borderId="0" xfId="0" applyNumberFormat="1" applyFill="1" applyBorder="1" applyAlignment="1">
      <alignment horizontal="center"/>
    </xf>
    <xf numFmtId="3" fontId="0" fillId="2" borderId="15" xfId="0" applyNumberFormat="1" applyFill="1" applyBorder="1" applyAlignment="1">
      <alignment horizontal="center"/>
    </xf>
    <xf numFmtId="0" fontId="0" fillId="6" borderId="12" xfId="0" applyFill="1" applyBorder="1"/>
    <xf numFmtId="0" fontId="6" fillId="2" borderId="19" xfId="0" applyFont="1" applyFill="1" applyBorder="1" applyAlignment="1">
      <alignment horizontal="left" vertical="center"/>
    </xf>
    <xf numFmtId="0" fontId="6" fillId="2" borderId="0" xfId="0" applyFont="1" applyFill="1" applyBorder="1" applyAlignment="1">
      <alignment horizontal="left" vertical="center"/>
    </xf>
    <xf numFmtId="37" fontId="4" fillId="2" borderId="0" xfId="0" applyNumberFormat="1" applyFont="1" applyFill="1" applyBorder="1" applyAlignment="1">
      <alignment horizontal="center"/>
    </xf>
    <xf numFmtId="37" fontId="7" fillId="2" borderId="0" xfId="0" applyNumberFormat="1" applyFont="1" applyFill="1" applyBorder="1" applyAlignment="1">
      <alignment horizontal="center"/>
    </xf>
    <xf numFmtId="3" fontId="4" fillId="2" borderId="0" xfId="0" applyNumberFormat="1" applyFont="1" applyFill="1" applyBorder="1" applyAlignment="1">
      <alignment horizontal="center"/>
    </xf>
    <xf numFmtId="3" fontId="7" fillId="2" borderId="0" xfId="0" applyNumberFormat="1" applyFont="1" applyFill="1" applyBorder="1" applyAlignment="1">
      <alignment horizontal="center"/>
    </xf>
    <xf numFmtId="164" fontId="4" fillId="2" borderId="0" xfId="0" applyNumberFormat="1" applyFont="1" applyFill="1" applyBorder="1" applyAlignment="1">
      <alignment horizontal="center"/>
    </xf>
    <xf numFmtId="167" fontId="4" fillId="2" borderId="0" xfId="0" applyNumberFormat="1" applyFont="1" applyFill="1" applyBorder="1" applyAlignment="1">
      <alignment horizontal="center"/>
    </xf>
    <xf numFmtId="0" fontId="4" fillId="2" borderId="0" xfId="0" applyFont="1" applyFill="1" applyBorder="1" applyAlignment="1">
      <alignment horizontal="center"/>
    </xf>
    <xf numFmtId="166" fontId="5" fillId="2" borderId="0" xfId="0" applyNumberFormat="1" applyFont="1" applyFill="1" applyBorder="1" applyAlignment="1">
      <alignment horizontal="center"/>
    </xf>
    <xf numFmtId="0" fontId="2" fillId="2" borderId="0" xfId="0" applyFont="1" applyFill="1" applyBorder="1" applyAlignment="1">
      <alignment horizontal="left"/>
    </xf>
    <xf numFmtId="0" fontId="2" fillId="2" borderId="0" xfId="0" applyFont="1" applyFill="1" applyBorder="1" applyAlignment="1">
      <alignment horizontal="center"/>
    </xf>
    <xf numFmtId="0" fontId="0" fillId="3" borderId="4" xfId="0" applyFill="1" applyBorder="1"/>
    <xf numFmtId="37" fontId="0" fillId="2" borderId="4" xfId="0" applyNumberFormat="1" applyFont="1" applyFill="1" applyBorder="1" applyAlignment="1">
      <alignment horizontal="center"/>
    </xf>
    <xf numFmtId="2" fontId="0" fillId="2" borderId="4" xfId="0" applyNumberFormat="1" applyFont="1" applyFill="1" applyBorder="1" applyAlignment="1">
      <alignment horizontal="center"/>
    </xf>
    <xf numFmtId="37" fontId="0" fillId="2" borderId="2" xfId="0" applyNumberFormat="1" applyFill="1" applyBorder="1"/>
    <xf numFmtId="37" fontId="3" fillId="2" borderId="2" xfId="0" applyNumberFormat="1" applyFont="1" applyFill="1" applyBorder="1"/>
    <xf numFmtId="0" fontId="6" fillId="6" borderId="10" xfId="0" applyFont="1" applyFill="1" applyBorder="1" applyAlignment="1">
      <alignment horizontal="left" vertical="center"/>
    </xf>
    <xf numFmtId="0" fontId="0" fillId="6" borderId="10" xfId="0" applyFill="1" applyBorder="1"/>
    <xf numFmtId="0" fontId="2" fillId="6" borderId="10" xfId="0" applyFont="1" applyFill="1" applyBorder="1" applyAlignment="1">
      <alignment horizontal="left"/>
    </xf>
    <xf numFmtId="0" fontId="2" fillId="6" borderId="10" xfId="0" applyFont="1" applyFill="1" applyBorder="1" applyAlignment="1">
      <alignment horizontal="center"/>
    </xf>
    <xf numFmtId="37" fontId="4" fillId="6" borderId="10" xfId="0" applyNumberFormat="1" applyFont="1" applyFill="1" applyBorder="1" applyAlignment="1">
      <alignment horizontal="center"/>
    </xf>
    <xf numFmtId="37" fontId="7" fillId="6" borderId="10" xfId="0" applyNumberFormat="1" applyFont="1" applyFill="1" applyBorder="1" applyAlignment="1">
      <alignment horizontal="center"/>
    </xf>
    <xf numFmtId="9" fontId="4" fillId="6" borderId="10" xfId="0" applyNumberFormat="1" applyFont="1" applyFill="1" applyBorder="1" applyAlignment="1">
      <alignment horizontal="center"/>
    </xf>
    <xf numFmtId="10" fontId="4" fillId="6" borderId="10" xfId="0" applyNumberFormat="1" applyFont="1" applyFill="1" applyBorder="1" applyAlignment="1">
      <alignment horizontal="center"/>
    </xf>
    <xf numFmtId="3" fontId="4" fillId="6" borderId="10" xfId="0" applyNumberFormat="1" applyFont="1" applyFill="1" applyBorder="1" applyAlignment="1">
      <alignment horizontal="center"/>
    </xf>
    <xf numFmtId="3" fontId="7" fillId="6" borderId="10" xfId="0" applyNumberFormat="1" applyFont="1" applyFill="1" applyBorder="1" applyAlignment="1">
      <alignment horizontal="center"/>
    </xf>
    <xf numFmtId="164" fontId="4" fillId="6" borderId="10" xfId="0" applyNumberFormat="1" applyFont="1" applyFill="1" applyBorder="1" applyAlignment="1">
      <alignment horizontal="center"/>
    </xf>
    <xf numFmtId="167" fontId="4" fillId="6" borderId="10" xfId="0" applyNumberFormat="1" applyFont="1" applyFill="1" applyBorder="1" applyAlignment="1">
      <alignment horizontal="center"/>
    </xf>
    <xf numFmtId="0" fontId="4" fillId="6" borderId="10" xfId="0" applyFont="1" applyFill="1" applyBorder="1" applyAlignment="1">
      <alignment horizontal="center"/>
    </xf>
    <xf numFmtId="10" fontId="0" fillId="6" borderId="10" xfId="1" applyNumberFormat="1" applyFont="1" applyFill="1" applyBorder="1" applyAlignment="1">
      <alignment horizontal="center"/>
    </xf>
    <xf numFmtId="166" fontId="5" fillId="6" borderId="10" xfId="0" applyNumberFormat="1" applyFont="1" applyFill="1" applyBorder="1" applyAlignment="1">
      <alignment horizontal="center"/>
    </xf>
    <xf numFmtId="37" fontId="0" fillId="6" borderId="10" xfId="0" applyNumberFormat="1" applyFill="1" applyBorder="1" applyAlignment="1">
      <alignment horizontal="center"/>
    </xf>
    <xf numFmtId="10" fontId="0" fillId="6" borderId="10" xfId="0" applyNumberFormat="1" applyFont="1" applyFill="1" applyBorder="1" applyAlignment="1">
      <alignment horizontal="center"/>
    </xf>
    <xf numFmtId="10" fontId="0" fillId="6" borderId="10" xfId="0" applyNumberFormat="1" applyFill="1" applyBorder="1" applyAlignment="1">
      <alignment horizontal="center"/>
    </xf>
    <xf numFmtId="0" fontId="0" fillId="6" borderId="10" xfId="0" applyFill="1" applyBorder="1" applyAlignment="1">
      <alignment horizontal="center"/>
    </xf>
    <xf numFmtId="168" fontId="0" fillId="6" borderId="10" xfId="0" applyNumberFormat="1" applyFont="1" applyFill="1" applyBorder="1" applyAlignment="1">
      <alignment horizontal="center"/>
    </xf>
    <xf numFmtId="169" fontId="0" fillId="6" borderId="10" xfId="0" applyNumberFormat="1" applyFont="1" applyFill="1" applyBorder="1" applyAlignment="1">
      <alignment horizontal="center"/>
    </xf>
    <xf numFmtId="39" fontId="0" fillId="6" borderId="10" xfId="0" applyNumberFormat="1" applyFill="1" applyBorder="1" applyAlignment="1">
      <alignment horizontal="center"/>
    </xf>
    <xf numFmtId="10" fontId="0" fillId="6" borderId="10" xfId="0" applyNumberFormat="1" applyFill="1" applyBorder="1"/>
    <xf numFmtId="0" fontId="6" fillId="2" borderId="19" xfId="0" applyFont="1" applyFill="1" applyBorder="1" applyAlignment="1">
      <alignment vertical="center"/>
    </xf>
    <xf numFmtId="0" fontId="6" fillId="2" borderId="0" xfId="0" applyFont="1" applyFill="1" applyBorder="1" applyAlignment="1">
      <alignment vertical="center"/>
    </xf>
    <xf numFmtId="0" fontId="12" fillId="7" borderId="0" xfId="0" applyFont="1" applyFill="1"/>
    <xf numFmtId="10" fontId="7" fillId="2" borderId="15" xfId="0" applyNumberFormat="1" applyFont="1" applyFill="1" applyBorder="1" applyAlignment="1">
      <alignment horizontal="center"/>
    </xf>
    <xf numFmtId="0" fontId="3" fillId="2" borderId="1" xfId="0" applyFont="1" applyFill="1" applyBorder="1"/>
    <xf numFmtId="0" fontId="0" fillId="2" borderId="2" xfId="0" applyFill="1" applyBorder="1"/>
    <xf numFmtId="10" fontId="13" fillId="2" borderId="0" xfId="0" applyNumberFormat="1" applyFont="1" applyFill="1" applyBorder="1" applyAlignment="1">
      <alignment horizontal="center"/>
    </xf>
    <xf numFmtId="0" fontId="13" fillId="2" borderId="4" xfId="0" applyFont="1" applyFill="1" applyBorder="1" applyAlignment="1">
      <alignment horizontal="center"/>
    </xf>
    <xf numFmtId="10" fontId="13" fillId="2" borderId="15" xfId="0" applyNumberFormat="1" applyFont="1" applyFill="1" applyBorder="1" applyAlignment="1">
      <alignment horizontal="center"/>
    </xf>
    <xf numFmtId="0" fontId="0" fillId="2" borderId="6" xfId="0" applyFill="1" applyBorder="1"/>
    <xf numFmtId="0" fontId="0" fillId="2" borderId="24" xfId="0" applyFill="1" applyBorder="1"/>
    <xf numFmtId="10" fontId="0" fillId="2" borderId="15" xfId="0" applyNumberFormat="1" applyFill="1" applyBorder="1" applyAlignment="1">
      <alignment horizontal="center"/>
    </xf>
    <xf numFmtId="0" fontId="3" fillId="2" borderId="5" xfId="0" applyFont="1" applyFill="1" applyBorder="1"/>
    <xf numFmtId="0" fontId="0" fillId="8" borderId="8" xfId="0" applyFill="1" applyBorder="1"/>
    <xf numFmtId="0" fontId="0" fillId="8" borderId="8" xfId="0" applyFill="1" applyBorder="1" applyAlignment="1">
      <alignment horizontal="left" indent="1"/>
    </xf>
    <xf numFmtId="10" fontId="3" fillId="8" borderId="9" xfId="0" applyNumberFormat="1" applyFont="1" applyFill="1" applyBorder="1"/>
    <xf numFmtId="169" fontId="3" fillId="8" borderId="1" xfId="0" applyNumberFormat="1" applyFont="1" applyFill="1" applyBorder="1" applyAlignment="1">
      <alignment horizontal="center"/>
    </xf>
    <xf numFmtId="10" fontId="3" fillId="8" borderId="7" xfId="0" applyNumberFormat="1" applyFont="1" applyFill="1" applyBorder="1"/>
    <xf numFmtId="0" fontId="0" fillId="8" borderId="3" xfId="0" applyFill="1" applyBorder="1"/>
    <xf numFmtId="0" fontId="0" fillId="8" borderId="3" xfId="0" applyFill="1" applyBorder="1" applyAlignment="1">
      <alignment horizontal="left" indent="1"/>
    </xf>
    <xf numFmtId="169" fontId="3" fillId="8" borderId="5" xfId="0" applyNumberFormat="1" applyFont="1" applyFill="1" applyBorder="1" applyAlignment="1">
      <alignment horizontal="center"/>
    </xf>
    <xf numFmtId="0" fontId="13" fillId="2" borderId="0" xfId="0" applyFont="1" applyFill="1" applyBorder="1" applyAlignment="1">
      <alignment horizontal="center"/>
    </xf>
    <xf numFmtId="41" fontId="3" fillId="2" borderId="3" xfId="0" applyNumberFormat="1" applyFont="1" applyFill="1" applyBorder="1"/>
    <xf numFmtId="41" fontId="3" fillId="2" borderId="0" xfId="0" applyNumberFormat="1" applyFont="1" applyFill="1" applyBorder="1"/>
    <xf numFmtId="41" fontId="3" fillId="2" borderId="4" xfId="0" applyNumberFormat="1" applyFont="1" applyFill="1" applyBorder="1"/>
    <xf numFmtId="41" fontId="0" fillId="2" borderId="3" xfId="0" applyNumberFormat="1" applyFill="1" applyBorder="1"/>
    <xf numFmtId="41" fontId="0" fillId="2" borderId="0" xfId="0" applyNumberFormat="1" applyFill="1" applyBorder="1"/>
    <xf numFmtId="41" fontId="0" fillId="2" borderId="4" xfId="0" applyNumberFormat="1" applyFill="1" applyBorder="1"/>
    <xf numFmtId="41" fontId="0" fillId="2" borderId="5" xfId="0" applyNumberFormat="1" applyFill="1" applyBorder="1"/>
    <xf numFmtId="41" fontId="0" fillId="2" borderId="15" xfId="0" applyNumberFormat="1" applyFill="1" applyBorder="1"/>
    <xf numFmtId="41" fontId="0" fillId="2" borderId="6" xfId="0" applyNumberFormat="1" applyFill="1" applyBorder="1"/>
    <xf numFmtId="41" fontId="3" fillId="2" borderId="5" xfId="0" applyNumberFormat="1" applyFont="1" applyFill="1" applyBorder="1"/>
    <xf numFmtId="41" fontId="3" fillId="2" borderId="15" xfId="0" applyNumberFormat="1" applyFont="1" applyFill="1" applyBorder="1"/>
    <xf numFmtId="41" fontId="3" fillId="2" borderId="6" xfId="0" applyNumberFormat="1" applyFont="1" applyFill="1" applyBorder="1"/>
    <xf numFmtId="0" fontId="3" fillId="2" borderId="4" xfId="0" applyFont="1" applyFill="1" applyBorder="1" applyAlignment="1">
      <alignment horizontal="center"/>
    </xf>
    <xf numFmtId="41" fontId="0" fillId="2" borderId="15" xfId="0" quotePrefix="1" applyNumberFormat="1" applyFill="1" applyBorder="1"/>
    <xf numFmtId="41" fontId="3" fillId="8" borderId="7" xfId="0" applyNumberFormat="1" applyFont="1" applyFill="1" applyBorder="1" applyAlignment="1">
      <alignment horizontal="center"/>
    </xf>
    <xf numFmtId="41" fontId="0" fillId="8" borderId="8" xfId="0" applyNumberFormat="1" applyFill="1" applyBorder="1" applyAlignment="1">
      <alignment horizontal="center"/>
    </xf>
    <xf numFmtId="41" fontId="0" fillId="8" borderId="9" xfId="0" applyNumberFormat="1" applyFill="1" applyBorder="1" applyAlignment="1">
      <alignment horizontal="center"/>
    </xf>
    <xf numFmtId="41" fontId="3" fillId="8" borderId="9" xfId="0" applyNumberFormat="1" applyFont="1" applyFill="1" applyBorder="1" applyAlignment="1">
      <alignment horizontal="center"/>
    </xf>
    <xf numFmtId="10" fontId="7" fillId="2" borderId="0" xfId="0" applyNumberFormat="1" applyFont="1" applyFill="1" applyBorder="1" applyAlignment="1">
      <alignment horizontal="center"/>
    </xf>
    <xf numFmtId="41" fontId="0" fillId="2" borderId="0" xfId="0" quotePrefix="1" applyNumberFormat="1" applyFill="1" applyBorder="1"/>
    <xf numFmtId="41" fontId="0" fillId="2" borderId="4" xfId="0" quotePrefix="1" applyNumberFormat="1" applyFill="1" applyBorder="1"/>
    <xf numFmtId="41" fontId="0" fillId="2" borderId="6" xfId="0" quotePrefix="1" applyNumberFormat="1" applyFill="1" applyBorder="1"/>
    <xf numFmtId="10" fontId="3" fillId="5" borderId="8" xfId="0" applyNumberFormat="1" applyFont="1" applyFill="1" applyBorder="1" applyAlignment="1">
      <alignment horizontal="center"/>
    </xf>
    <xf numFmtId="0" fontId="0" fillId="5" borderId="3" xfId="0" applyFill="1" applyBorder="1" applyAlignment="1">
      <alignment horizontal="left" indent="1"/>
    </xf>
    <xf numFmtId="41" fontId="0" fillId="5" borderId="0" xfId="0" applyNumberFormat="1" applyFill="1" applyBorder="1"/>
    <xf numFmtId="41" fontId="0" fillId="5" borderId="4" xfId="0" applyNumberFormat="1" applyFill="1" applyBorder="1"/>
    <xf numFmtId="0" fontId="0" fillId="5" borderId="5" xfId="0" applyFill="1" applyBorder="1" applyAlignment="1">
      <alignment horizontal="left" indent="1"/>
    </xf>
    <xf numFmtId="41" fontId="0" fillId="5" borderId="15" xfId="0" applyNumberFormat="1" applyFill="1" applyBorder="1"/>
    <xf numFmtId="41" fontId="0" fillId="5" borderId="6" xfId="0" applyNumberFormat="1" applyFill="1" applyBorder="1"/>
    <xf numFmtId="0" fontId="3" fillId="5" borderId="17" xfId="0" applyFont="1" applyFill="1" applyBorder="1"/>
    <xf numFmtId="10" fontId="0" fillId="2" borderId="24" xfId="0" applyNumberFormat="1" applyFill="1" applyBorder="1" applyAlignment="1">
      <alignment horizontal="center"/>
    </xf>
    <xf numFmtId="0" fontId="0" fillId="2" borderId="18" xfId="0" applyFill="1" applyBorder="1"/>
    <xf numFmtId="9" fontId="13" fillId="2" borderId="0" xfId="0" applyNumberFormat="1" applyFont="1" applyFill="1" applyBorder="1" applyAlignment="1">
      <alignment horizontal="center"/>
    </xf>
    <xf numFmtId="9" fontId="0" fillId="2" borderId="15" xfId="0" applyNumberFormat="1" applyFill="1" applyBorder="1" applyAlignment="1">
      <alignment horizontal="center"/>
    </xf>
    <xf numFmtId="0" fontId="0" fillId="2" borderId="1" xfId="0" applyFont="1" applyFill="1" applyBorder="1"/>
    <xf numFmtId="41" fontId="0" fillId="5" borderId="24" xfId="0" applyNumberFormat="1" applyFont="1" applyFill="1" applyBorder="1"/>
    <xf numFmtId="41" fontId="0" fillId="5" borderId="18" xfId="0" applyNumberFormat="1" applyFont="1" applyFill="1" applyBorder="1"/>
    <xf numFmtId="10" fontId="0" fillId="5" borderId="3" xfId="0" applyNumberFormat="1" applyFont="1" applyFill="1" applyBorder="1" applyAlignment="1">
      <alignment horizontal="center"/>
    </xf>
    <xf numFmtId="10" fontId="0" fillId="5" borderId="5" xfId="0" applyNumberFormat="1" applyFont="1" applyFill="1" applyBorder="1" applyAlignment="1">
      <alignment horizontal="center"/>
    </xf>
    <xf numFmtId="169" fontId="0" fillId="8" borderId="8" xfId="0" applyNumberFormat="1" applyFont="1" applyFill="1" applyBorder="1" applyAlignment="1">
      <alignment horizontal="center"/>
    </xf>
    <xf numFmtId="169" fontId="0" fillId="8" borderId="9" xfId="0" applyNumberFormat="1" applyFont="1" applyFill="1" applyBorder="1" applyAlignment="1">
      <alignment horizontal="center"/>
    </xf>
    <xf numFmtId="41" fontId="0" fillId="8" borderId="4" xfId="0" applyNumberFormat="1" applyFont="1" applyFill="1" applyBorder="1" applyAlignment="1">
      <alignment horizontal="center"/>
    </xf>
    <xf numFmtId="41" fontId="0" fillId="8" borderId="6" xfId="0" applyNumberFormat="1" applyFont="1" applyFill="1" applyBorder="1" applyAlignment="1">
      <alignment horizontal="center"/>
    </xf>
    <xf numFmtId="0" fontId="3" fillId="2" borderId="18" xfId="0" applyFont="1" applyFill="1" applyBorder="1" applyAlignment="1">
      <alignment horizontal="center" wrapText="1"/>
    </xf>
    <xf numFmtId="0" fontId="0" fillId="2" borderId="17" xfId="0" applyFill="1" applyBorder="1" applyAlignment="1">
      <alignment vertical="center"/>
    </xf>
    <xf numFmtId="10" fontId="13" fillId="2" borderId="24" xfId="0" applyNumberFormat="1" applyFont="1" applyFill="1" applyBorder="1" applyAlignment="1">
      <alignment horizontal="center" vertical="center"/>
    </xf>
    <xf numFmtId="0" fontId="13" fillId="2" borderId="24" xfId="0" applyFont="1" applyFill="1" applyBorder="1" applyAlignment="1">
      <alignment horizontal="center"/>
    </xf>
    <xf numFmtId="0" fontId="3" fillId="2" borderId="17" xfId="0" applyFont="1" applyFill="1" applyBorder="1"/>
    <xf numFmtId="171" fontId="0" fillId="2" borderId="19" xfId="0" applyNumberFormat="1" applyFill="1" applyBorder="1"/>
    <xf numFmtId="171" fontId="0" fillId="2" borderId="0" xfId="0" applyNumberFormat="1" applyFill="1" applyBorder="1"/>
    <xf numFmtId="41" fontId="0" fillId="2" borderId="16" xfId="0" applyNumberFormat="1" applyFill="1" applyBorder="1"/>
    <xf numFmtId="10" fontId="0" fillId="2" borderId="19" xfId="0" applyNumberFormat="1" applyFill="1" applyBorder="1" applyAlignment="1">
      <alignment horizontal="center"/>
    </xf>
    <xf numFmtId="41" fontId="0" fillId="2" borderId="20" xfId="0" applyNumberFormat="1" applyFill="1" applyBorder="1"/>
    <xf numFmtId="41" fontId="0" fillId="2" borderId="21" xfId="0" applyNumberFormat="1" applyFill="1" applyBorder="1"/>
    <xf numFmtId="41" fontId="0" fillId="2" borderId="23" xfId="0" applyNumberFormat="1" applyFill="1" applyBorder="1"/>
    <xf numFmtId="0" fontId="0" fillId="5" borderId="3" xfId="0" applyFill="1" applyBorder="1" applyAlignment="1">
      <alignment horizontal="left" indent="2"/>
    </xf>
    <xf numFmtId="0" fontId="0" fillId="5" borderId="5" xfId="0" applyFill="1" applyBorder="1" applyAlignment="1">
      <alignment horizontal="left" indent="2"/>
    </xf>
    <xf numFmtId="41" fontId="0" fillId="5" borderId="3" xfId="0" applyNumberFormat="1" applyFill="1" applyBorder="1"/>
    <xf numFmtId="41" fontId="0" fillId="5" borderId="5" xfId="0" applyNumberFormat="1" applyFill="1" applyBorder="1"/>
    <xf numFmtId="169" fontId="0" fillId="5" borderId="8" xfId="0" applyNumberFormat="1" applyFont="1" applyFill="1" applyBorder="1" applyAlignment="1">
      <alignment horizontal="center"/>
    </xf>
    <xf numFmtId="41" fontId="0" fillId="5" borderId="4" xfId="0" applyNumberFormat="1" applyFont="1" applyFill="1" applyBorder="1" applyAlignment="1">
      <alignment horizontal="center"/>
    </xf>
    <xf numFmtId="169" fontId="0" fillId="5" borderId="9" xfId="0" applyNumberFormat="1" applyFont="1" applyFill="1" applyBorder="1" applyAlignment="1">
      <alignment horizontal="center"/>
    </xf>
    <xf numFmtId="41" fontId="0" fillId="5" borderId="6" xfId="0" applyNumberFormat="1" applyFont="1" applyFill="1" applyBorder="1" applyAlignment="1">
      <alignment horizontal="center"/>
    </xf>
    <xf numFmtId="10" fontId="0" fillId="5" borderId="8" xfId="0" applyNumberFormat="1" applyFont="1" applyFill="1" applyBorder="1" applyAlignment="1">
      <alignment horizontal="center"/>
    </xf>
    <xf numFmtId="10" fontId="0" fillId="5" borderId="9" xfId="0" applyNumberFormat="1" applyFont="1" applyFill="1" applyBorder="1" applyAlignment="1">
      <alignment horizontal="center"/>
    </xf>
    <xf numFmtId="41" fontId="3" fillId="2" borderId="16" xfId="0" applyNumberFormat="1" applyFont="1" applyFill="1" applyBorder="1" applyAlignment="1">
      <alignment horizontal="center"/>
    </xf>
    <xf numFmtId="41" fontId="0" fillId="2" borderId="0" xfId="0" applyNumberFormat="1" applyFont="1" applyFill="1" applyBorder="1"/>
    <xf numFmtId="41" fontId="0" fillId="2" borderId="4" xfId="0" applyNumberFormat="1" applyFont="1" applyFill="1" applyBorder="1"/>
    <xf numFmtId="0" fontId="0" fillId="2" borderId="27" xfId="0" applyFill="1" applyBorder="1" applyAlignment="1">
      <alignment horizontal="left" indent="1"/>
    </xf>
    <xf numFmtId="171" fontId="0" fillId="2" borderId="4" xfId="0" applyNumberFormat="1" applyFill="1" applyBorder="1"/>
    <xf numFmtId="43" fontId="0" fillId="2" borderId="0" xfId="0" applyNumberFormat="1" applyFill="1" applyBorder="1"/>
    <xf numFmtId="171" fontId="0" fillId="2" borderId="0" xfId="0" applyNumberFormat="1" applyFill="1" applyBorder="1" applyAlignment="1">
      <alignment horizontal="center"/>
    </xf>
    <xf numFmtId="41" fontId="0" fillId="2" borderId="14" xfId="0" applyNumberFormat="1" applyFill="1" applyBorder="1"/>
    <xf numFmtId="10" fontId="0" fillId="5" borderId="25" xfId="0" applyNumberFormat="1" applyFont="1" applyFill="1" applyBorder="1" applyAlignment="1">
      <alignment horizontal="center"/>
    </xf>
    <xf numFmtId="169" fontId="0" fillId="5" borderId="25" xfId="0" applyNumberFormat="1" applyFont="1" applyFill="1" applyBorder="1" applyAlignment="1">
      <alignment horizontal="center"/>
    </xf>
    <xf numFmtId="41" fontId="0" fillId="5" borderId="18" xfId="0" applyNumberFormat="1" applyFont="1" applyFill="1" applyBorder="1" applyAlignment="1">
      <alignment horizontal="center"/>
    </xf>
    <xf numFmtId="41" fontId="0" fillId="5" borderId="17" xfId="0" applyNumberFormat="1" applyFont="1" applyFill="1" applyBorder="1" applyAlignment="1">
      <alignment horizontal="center"/>
    </xf>
    <xf numFmtId="41" fontId="0" fillId="5" borderId="24" xfId="0" applyNumberFormat="1" applyFont="1" applyFill="1" applyBorder="1" applyAlignment="1">
      <alignment horizontal="center"/>
    </xf>
    <xf numFmtId="0" fontId="3" fillId="5" borderId="17" xfId="0" applyFont="1" applyFill="1" applyBorder="1" applyAlignment="1">
      <alignment horizontal="left"/>
    </xf>
    <xf numFmtId="0" fontId="0" fillId="2" borderId="3" xfId="0" applyFill="1" applyBorder="1" applyAlignment="1">
      <alignment vertical="top"/>
    </xf>
    <xf numFmtId="41" fontId="0" fillId="2" borderId="0" xfId="0" applyNumberFormat="1" applyFill="1" applyBorder="1" applyAlignment="1">
      <alignment vertical="top"/>
    </xf>
    <xf numFmtId="41" fontId="0" fillId="2" borderId="4" xfId="0" applyNumberFormat="1" applyFill="1" applyBorder="1" applyAlignment="1">
      <alignment vertical="top"/>
    </xf>
    <xf numFmtId="0" fontId="0" fillId="2" borderId="1" xfId="0" applyFill="1" applyBorder="1" applyAlignment="1">
      <alignment vertical="top"/>
    </xf>
    <xf numFmtId="0" fontId="6" fillId="2" borderId="20" xfId="0" applyFont="1" applyFill="1" applyBorder="1" applyAlignment="1">
      <alignment horizontal="left" vertical="center"/>
    </xf>
    <xf numFmtId="0" fontId="6" fillId="2" borderId="21" xfId="0" applyFont="1" applyFill="1" applyBorder="1" applyAlignment="1">
      <alignment horizontal="left" vertical="center"/>
    </xf>
    <xf numFmtId="0" fontId="2" fillId="3" borderId="0" xfId="0" applyFont="1" applyFill="1" applyBorder="1" applyAlignment="1">
      <alignment horizontal="center"/>
    </xf>
    <xf numFmtId="0" fontId="2" fillId="3" borderId="4" xfId="0" applyFont="1" applyFill="1" applyBorder="1" applyAlignment="1">
      <alignment horizontal="center"/>
    </xf>
    <xf numFmtId="0" fontId="2" fillId="3" borderId="1" xfId="0" applyFont="1" applyFill="1" applyBorder="1" applyAlignment="1">
      <alignment horizontal="left"/>
    </xf>
    <xf numFmtId="0" fontId="2" fillId="3" borderId="2" xfId="0" applyFont="1" applyFill="1" applyBorder="1" applyAlignment="1">
      <alignment horizontal="left"/>
    </xf>
    <xf numFmtId="0" fontId="2" fillId="3" borderId="14" xfId="0" applyFont="1" applyFill="1" applyBorder="1" applyAlignment="1">
      <alignment horizontal="left"/>
    </xf>
    <xf numFmtId="0" fontId="2" fillId="3" borderId="17" xfId="0" applyFont="1" applyFill="1" applyBorder="1" applyAlignment="1">
      <alignment horizontal="left"/>
    </xf>
    <xf numFmtId="0" fontId="2" fillId="3" borderId="24" xfId="0" applyFont="1" applyFill="1" applyBorder="1" applyAlignment="1">
      <alignment horizontal="left"/>
    </xf>
    <xf numFmtId="0" fontId="2" fillId="3" borderId="18" xfId="0" applyFont="1" applyFill="1" applyBorder="1" applyAlignment="1">
      <alignment horizontal="left"/>
    </xf>
    <xf numFmtId="0" fontId="6" fillId="2" borderId="0" xfId="0" applyFont="1" applyFill="1" applyBorder="1" applyAlignment="1">
      <alignment horizontal="left" vertical="center"/>
    </xf>
    <xf numFmtId="41" fontId="0" fillId="2" borderId="2" xfId="0" applyNumberFormat="1" applyFill="1" applyBorder="1"/>
    <xf numFmtId="10" fontId="0" fillId="2" borderId="15" xfId="0" applyNumberFormat="1" applyFill="1" applyBorder="1"/>
    <xf numFmtId="10" fontId="3" fillId="2" borderId="0" xfId="1" applyNumberFormat="1" applyFont="1" applyFill="1" applyBorder="1"/>
    <xf numFmtId="0" fontId="0" fillId="2" borderId="5" xfId="0" applyFill="1" applyBorder="1" applyAlignment="1">
      <alignment horizontal="left" indent="2"/>
    </xf>
    <xf numFmtId="171" fontId="0" fillId="2" borderId="6" xfId="0" applyNumberFormat="1" applyFill="1" applyBorder="1"/>
    <xf numFmtId="171" fontId="3" fillId="2" borderId="0" xfId="0" applyNumberFormat="1" applyFont="1" applyFill="1" applyBorder="1"/>
    <xf numFmtId="171" fontId="3" fillId="2" borderId="4" xfId="0" applyNumberFormat="1" applyFont="1" applyFill="1" applyBorder="1"/>
    <xf numFmtId="0" fontId="3" fillId="5" borderId="5" xfId="0" applyFont="1" applyFill="1" applyBorder="1"/>
    <xf numFmtId="41" fontId="0" fillId="5" borderId="15" xfId="0" applyNumberFormat="1" applyFont="1" applyFill="1" applyBorder="1"/>
    <xf numFmtId="41" fontId="0" fillId="5" borderId="6" xfId="0" applyNumberFormat="1" applyFont="1" applyFill="1" applyBorder="1"/>
    <xf numFmtId="10" fontId="3" fillId="2" borderId="0" xfId="0" applyNumberFormat="1" applyFont="1" applyFill="1" applyBorder="1" applyAlignment="1">
      <alignment horizontal="center"/>
    </xf>
    <xf numFmtId="10" fontId="3" fillId="2" borderId="15" xfId="0" applyNumberFormat="1" applyFont="1" applyFill="1" applyBorder="1" applyAlignment="1">
      <alignment horizontal="center"/>
    </xf>
    <xf numFmtId="0" fontId="0" fillId="2" borderId="0" xfId="0" applyFill="1" applyBorder="1" applyAlignment="1">
      <alignment vertical="top"/>
    </xf>
    <xf numFmtId="0" fontId="3" fillId="2" borderId="26" xfId="0" applyFont="1" applyFill="1" applyBorder="1"/>
    <xf numFmtId="0" fontId="0" fillId="2" borderId="24" xfId="0" applyFill="1" applyBorder="1" applyAlignment="1">
      <alignment horizontal="center"/>
    </xf>
    <xf numFmtId="10" fontId="0" fillId="2" borderId="15" xfId="0" applyNumberFormat="1" applyFont="1" applyFill="1" applyBorder="1" applyAlignment="1">
      <alignment horizontal="center"/>
    </xf>
    <xf numFmtId="0" fontId="0" fillId="2" borderId="15" xfId="0" applyFont="1" applyFill="1" applyBorder="1" applyAlignment="1">
      <alignment horizontal="center"/>
    </xf>
    <xf numFmtId="41" fontId="0" fillId="5" borderId="0" xfId="0" applyNumberFormat="1" applyFont="1" applyFill="1" applyBorder="1"/>
    <xf numFmtId="41" fontId="0" fillId="5" borderId="1" xfId="0" applyNumberFormat="1" applyFont="1" applyFill="1" applyBorder="1"/>
    <xf numFmtId="41" fontId="0" fillId="5" borderId="14" xfId="0" applyNumberFormat="1" applyFont="1" applyFill="1" applyBorder="1"/>
    <xf numFmtId="41" fontId="0" fillId="5" borderId="2" xfId="0" applyNumberFormat="1" applyFont="1" applyFill="1" applyBorder="1"/>
    <xf numFmtId="41" fontId="0" fillId="5" borderId="3" xfId="0" applyNumberFormat="1" applyFont="1" applyFill="1" applyBorder="1"/>
    <xf numFmtId="41" fontId="0" fillId="5" borderId="4" xfId="0" applyNumberFormat="1" applyFont="1" applyFill="1" applyBorder="1"/>
    <xf numFmtId="41" fontId="0" fillId="5" borderId="5" xfId="0" applyNumberFormat="1" applyFont="1" applyFill="1" applyBorder="1"/>
    <xf numFmtId="41" fontId="0" fillId="5" borderId="0" xfId="0" applyNumberFormat="1" applyFont="1" applyFill="1" applyBorder="1" applyAlignment="1">
      <alignment horizontal="center"/>
    </xf>
    <xf numFmtId="41" fontId="0" fillId="5" borderId="1" xfId="0" applyNumberFormat="1" applyFont="1" applyFill="1" applyBorder="1" applyAlignment="1">
      <alignment horizontal="center"/>
    </xf>
    <xf numFmtId="41" fontId="0" fillId="5" borderId="14" xfId="0" applyNumberFormat="1" applyFont="1" applyFill="1" applyBorder="1" applyAlignment="1">
      <alignment horizontal="center"/>
    </xf>
    <xf numFmtId="41" fontId="0" fillId="5" borderId="2" xfId="0" applyNumberFormat="1" applyFont="1" applyFill="1" applyBorder="1" applyAlignment="1">
      <alignment horizontal="center"/>
    </xf>
    <xf numFmtId="41" fontId="0" fillId="5" borderId="1" xfId="0" applyNumberFormat="1" applyFill="1" applyBorder="1"/>
    <xf numFmtId="41" fontId="0" fillId="5" borderId="14" xfId="0" applyNumberFormat="1" applyFill="1" applyBorder="1"/>
    <xf numFmtId="41" fontId="0" fillId="5" borderId="2" xfId="0" applyNumberFormat="1" applyFill="1" applyBorder="1"/>
    <xf numFmtId="10" fontId="3" fillId="5" borderId="17" xfId="0" applyNumberFormat="1" applyFont="1" applyFill="1" applyBorder="1" applyAlignment="1">
      <alignment horizontal="center"/>
    </xf>
    <xf numFmtId="169" fontId="3" fillId="8" borderId="25" xfId="0" applyNumberFormat="1" applyFont="1" applyFill="1" applyBorder="1" applyAlignment="1">
      <alignment horizontal="center"/>
    </xf>
    <xf numFmtId="41" fontId="3" fillId="8" borderId="18" xfId="0" applyNumberFormat="1" applyFont="1" applyFill="1" applyBorder="1" applyAlignment="1">
      <alignment horizontal="center"/>
    </xf>
    <xf numFmtId="10" fontId="3" fillId="5" borderId="3" xfId="0" applyNumberFormat="1" applyFont="1" applyFill="1" applyBorder="1" applyAlignment="1">
      <alignment horizontal="center"/>
    </xf>
    <xf numFmtId="169" fontId="3" fillId="8" borderId="8" xfId="0" applyNumberFormat="1" applyFont="1" applyFill="1" applyBorder="1" applyAlignment="1">
      <alignment horizontal="center"/>
    </xf>
    <xf numFmtId="41" fontId="3" fillId="8" borderId="0" xfId="0" applyNumberFormat="1" applyFont="1" applyFill="1" applyBorder="1" applyAlignment="1">
      <alignment horizontal="center"/>
    </xf>
    <xf numFmtId="10" fontId="3" fillId="5" borderId="5" xfId="0" applyNumberFormat="1" applyFont="1" applyFill="1" applyBorder="1" applyAlignment="1">
      <alignment horizontal="center"/>
    </xf>
    <xf numFmtId="169" fontId="3" fillId="8" borderId="9" xfId="0" applyNumberFormat="1" applyFont="1" applyFill="1" applyBorder="1" applyAlignment="1">
      <alignment horizontal="center"/>
    </xf>
    <xf numFmtId="41" fontId="3" fillId="8" borderId="15" xfId="0" applyNumberFormat="1" applyFont="1" applyFill="1" applyBorder="1" applyAlignment="1">
      <alignment horizontal="center"/>
    </xf>
    <xf numFmtId="41" fontId="3" fillId="8" borderId="24" xfId="0" applyNumberFormat="1" applyFont="1" applyFill="1" applyBorder="1" applyAlignment="1">
      <alignment horizontal="center"/>
    </xf>
    <xf numFmtId="10" fontId="3" fillId="5" borderId="25" xfId="0" applyNumberFormat="1" applyFont="1" applyFill="1" applyBorder="1" applyAlignment="1">
      <alignment horizontal="center"/>
    </xf>
    <xf numFmtId="169" fontId="3" fillId="5" borderId="25" xfId="0" applyNumberFormat="1" applyFont="1" applyFill="1" applyBorder="1" applyAlignment="1">
      <alignment horizontal="center"/>
    </xf>
    <xf numFmtId="41" fontId="3" fillId="5" borderId="18" xfId="0" applyNumberFormat="1" applyFont="1" applyFill="1" applyBorder="1" applyAlignment="1">
      <alignment horizontal="center"/>
    </xf>
    <xf numFmtId="169" fontId="3" fillId="5" borderId="8" xfId="0" applyNumberFormat="1" applyFont="1" applyFill="1" applyBorder="1" applyAlignment="1">
      <alignment horizontal="center"/>
    </xf>
    <xf numFmtId="41" fontId="3" fillId="5" borderId="4" xfId="0" applyNumberFormat="1" applyFont="1" applyFill="1" applyBorder="1" applyAlignment="1">
      <alignment horizontal="center"/>
    </xf>
    <xf numFmtId="10" fontId="3" fillId="5" borderId="9" xfId="0" applyNumberFormat="1" applyFont="1" applyFill="1" applyBorder="1" applyAlignment="1">
      <alignment horizontal="center"/>
    </xf>
    <xf numFmtId="169" fontId="3" fillId="5" borderId="9" xfId="0" applyNumberFormat="1" applyFont="1" applyFill="1" applyBorder="1" applyAlignment="1">
      <alignment horizontal="center"/>
    </xf>
    <xf numFmtId="41" fontId="3" fillId="5" borderId="6" xfId="0" applyNumberFormat="1" applyFont="1" applyFill="1" applyBorder="1" applyAlignment="1">
      <alignment horizontal="center"/>
    </xf>
    <xf numFmtId="41" fontId="3" fillId="5" borderId="24" xfId="0" applyNumberFormat="1" applyFont="1" applyFill="1" applyBorder="1" applyAlignment="1">
      <alignment horizontal="center"/>
    </xf>
    <xf numFmtId="41" fontId="3" fillId="5" borderId="0" xfId="0" applyNumberFormat="1" applyFont="1" applyFill="1" applyBorder="1" applyAlignment="1">
      <alignment horizontal="center"/>
    </xf>
    <xf numFmtId="41" fontId="3" fillId="5" borderId="15" xfId="0" applyNumberFormat="1" applyFont="1" applyFill="1" applyBorder="1" applyAlignment="1">
      <alignment horizontal="center"/>
    </xf>
    <xf numFmtId="41" fontId="0" fillId="5" borderId="3" xfId="0" applyNumberFormat="1" applyFont="1" applyFill="1" applyBorder="1" applyAlignment="1">
      <alignment horizontal="center"/>
    </xf>
    <xf numFmtId="41" fontId="0" fillId="5" borderId="5" xfId="0" applyNumberFormat="1" applyFont="1" applyFill="1" applyBorder="1" applyAlignment="1">
      <alignment horizontal="center"/>
    </xf>
    <xf numFmtId="41" fontId="0" fillId="5" borderId="15" xfId="0" applyNumberFormat="1" applyFont="1" applyFill="1" applyBorder="1" applyAlignment="1">
      <alignment horizontal="center"/>
    </xf>
    <xf numFmtId="0" fontId="0" fillId="2" borderId="0" xfId="0" applyFont="1" applyFill="1" applyBorder="1" applyAlignment="1">
      <alignment horizontal="center"/>
    </xf>
    <xf numFmtId="41" fontId="3" fillId="8" borderId="14" xfId="0" applyNumberFormat="1" applyFont="1" applyFill="1" applyBorder="1" applyAlignment="1">
      <alignment horizontal="center"/>
    </xf>
    <xf numFmtId="10" fontId="3" fillId="5" borderId="1" xfId="0" applyNumberFormat="1" applyFont="1" applyFill="1" applyBorder="1" applyAlignment="1">
      <alignment horizontal="center"/>
    </xf>
    <xf numFmtId="169" fontId="3" fillId="8" borderId="7" xfId="0" applyNumberFormat="1" applyFont="1" applyFill="1" applyBorder="1" applyAlignment="1">
      <alignment horizontal="center"/>
    </xf>
    <xf numFmtId="41" fontId="3" fillId="8" borderId="2" xfId="0" applyNumberFormat="1" applyFont="1" applyFill="1" applyBorder="1" applyAlignment="1">
      <alignment horizontal="center"/>
    </xf>
    <xf numFmtId="41" fontId="3" fillId="8" borderId="4" xfId="0" applyNumberFormat="1" applyFont="1" applyFill="1" applyBorder="1" applyAlignment="1">
      <alignment horizontal="center"/>
    </xf>
    <xf numFmtId="41" fontId="3" fillId="8" borderId="6" xfId="0" applyNumberFormat="1" applyFont="1" applyFill="1" applyBorder="1" applyAlignment="1">
      <alignment horizontal="center"/>
    </xf>
    <xf numFmtId="0" fontId="3" fillId="2" borderId="5" xfId="0" applyFont="1" applyFill="1" applyBorder="1" applyAlignment="1">
      <alignment horizontal="left" indent="1"/>
    </xf>
    <xf numFmtId="0" fontId="3" fillId="2" borderId="3" xfId="0" applyFont="1" applyFill="1" applyBorder="1" applyAlignment="1">
      <alignment horizontal="left" indent="1"/>
    </xf>
    <xf numFmtId="0" fontId="2" fillId="3" borderId="2" xfId="0" applyFont="1" applyFill="1" applyBorder="1"/>
    <xf numFmtId="0" fontId="2" fillId="3" borderId="4" xfId="0" applyFont="1" applyFill="1" applyBorder="1"/>
    <xf numFmtId="0" fontId="0" fillId="2" borderId="4" xfId="0" applyFont="1" applyFill="1" applyBorder="1" applyAlignment="1">
      <alignment horizontal="center"/>
    </xf>
    <xf numFmtId="0" fontId="2" fillId="2" borderId="21" xfId="0" applyFont="1" applyFill="1" applyBorder="1" applyAlignment="1">
      <alignment horizontal="left"/>
    </xf>
    <xf numFmtId="0" fontId="2" fillId="2" borderId="21" xfId="0" applyFont="1" applyFill="1" applyBorder="1" applyAlignment="1">
      <alignment horizontal="center"/>
    </xf>
    <xf numFmtId="37" fontId="0" fillId="2" borderId="21" xfId="0" applyNumberFormat="1" applyFill="1" applyBorder="1"/>
    <xf numFmtId="37" fontId="0" fillId="2" borderId="12" xfId="0" applyNumberFormat="1" applyFill="1" applyBorder="1"/>
    <xf numFmtId="1" fontId="0" fillId="2" borderId="0" xfId="0" applyNumberFormat="1" applyFill="1" applyBorder="1"/>
    <xf numFmtId="10" fontId="0" fillId="2" borderId="0" xfId="1" applyNumberFormat="1" applyFont="1" applyFill="1" applyBorder="1"/>
    <xf numFmtId="0" fontId="3" fillId="2" borderId="22" xfId="0" applyFont="1" applyFill="1" applyBorder="1"/>
    <xf numFmtId="173" fontId="0" fillId="2" borderId="22" xfId="1" applyNumberFormat="1" applyFont="1" applyFill="1" applyBorder="1"/>
    <xf numFmtId="10" fontId="0" fillId="2" borderId="22" xfId="1" applyNumberFormat="1" applyFont="1" applyFill="1" applyBorder="1"/>
    <xf numFmtId="171" fontId="0" fillId="2" borderId="22" xfId="0" applyNumberFormat="1" applyFill="1" applyBorder="1"/>
    <xf numFmtId="41" fontId="0" fillId="2" borderId="22" xfId="0" applyNumberFormat="1" applyFill="1" applyBorder="1"/>
    <xf numFmtId="175" fontId="0" fillId="2" borderId="22" xfId="0" applyNumberFormat="1" applyFill="1" applyBorder="1"/>
    <xf numFmtId="174" fontId="0" fillId="2" borderId="22" xfId="0" applyNumberFormat="1" applyFill="1" applyBorder="1"/>
    <xf numFmtId="1" fontId="0" fillId="2" borderId="22" xfId="0" applyNumberFormat="1" applyFill="1" applyBorder="1"/>
    <xf numFmtId="0" fontId="0" fillId="7" borderId="0" xfId="0" applyFill="1"/>
    <xf numFmtId="176" fontId="0" fillId="7" borderId="0" xfId="1" applyNumberFormat="1" applyFont="1" applyFill="1"/>
    <xf numFmtId="37" fontId="0" fillId="7" borderId="0" xfId="0" applyNumberFormat="1" applyFill="1"/>
    <xf numFmtId="0" fontId="6" fillId="7" borderId="0" xfId="0" applyFont="1" applyFill="1" applyBorder="1" applyAlignment="1">
      <alignment horizontal="left" vertical="center"/>
    </xf>
    <xf numFmtId="0" fontId="0" fillId="7" borderId="0" xfId="0" applyFill="1" applyBorder="1"/>
    <xf numFmtId="0" fontId="2" fillId="7" borderId="0" xfId="0" applyFont="1" applyFill="1" applyBorder="1" applyAlignment="1">
      <alignment horizontal="left"/>
    </xf>
    <xf numFmtId="0" fontId="2" fillId="7" borderId="0" xfId="0" applyFont="1" applyFill="1" applyBorder="1" applyAlignment="1">
      <alignment horizontal="center"/>
    </xf>
    <xf numFmtId="171" fontId="0" fillId="7" borderId="0" xfId="0" applyNumberFormat="1" applyFill="1"/>
    <xf numFmtId="10" fontId="0" fillId="7" borderId="0" xfId="1" applyNumberFormat="1" applyFont="1" applyFill="1"/>
    <xf numFmtId="41" fontId="0" fillId="7" borderId="0" xfId="0" applyNumberFormat="1" applyFill="1"/>
    <xf numFmtId="1" fontId="0" fillId="7" borderId="0" xfId="0" applyNumberFormat="1" applyFill="1"/>
    <xf numFmtId="43" fontId="0" fillId="7" borderId="0" xfId="0" applyNumberFormat="1" applyFill="1"/>
    <xf numFmtId="172" fontId="0" fillId="7" borderId="0" xfId="0" applyNumberFormat="1" applyFill="1"/>
    <xf numFmtId="10" fontId="0" fillId="2" borderId="16" xfId="1" applyNumberFormat="1" applyFont="1" applyFill="1" applyBorder="1" applyAlignment="1">
      <alignment horizontal="center"/>
    </xf>
    <xf numFmtId="0" fontId="6" fillId="2" borderId="0" xfId="0" applyFont="1" applyFill="1" applyBorder="1" applyAlignment="1">
      <alignment horizontal="left" vertical="center"/>
    </xf>
    <xf numFmtId="0" fontId="2" fillId="3" borderId="14" xfId="0" applyFont="1" applyFill="1" applyBorder="1" applyAlignment="1">
      <alignment horizontal="left"/>
    </xf>
    <xf numFmtId="0" fontId="0" fillId="2" borderId="15" xfId="0" applyFill="1" applyBorder="1" applyAlignment="1">
      <alignment horizontal="left"/>
    </xf>
    <xf numFmtId="0" fontId="0" fillId="2" borderId="0" xfId="0" applyFill="1" applyBorder="1" applyAlignment="1">
      <alignment horizontal="left" indent="2"/>
    </xf>
    <xf numFmtId="0" fontId="0" fillId="2" borderId="14" xfId="0" applyFill="1" applyBorder="1" applyAlignment="1">
      <alignment horizontal="left"/>
    </xf>
    <xf numFmtId="0" fontId="0" fillId="2" borderId="0" xfId="0" applyFill="1" applyBorder="1" applyAlignment="1">
      <alignment horizontal="left"/>
    </xf>
    <xf numFmtId="0" fontId="16" fillId="2" borderId="22" xfId="2" applyFill="1" applyBorder="1" applyAlignment="1">
      <alignment vertical="center"/>
    </xf>
    <xf numFmtId="37" fontId="0" fillId="6" borderId="0" xfId="0" applyNumberFormat="1" applyFill="1"/>
    <xf numFmtId="0" fontId="6" fillId="2" borderId="20" xfId="0" applyFont="1" applyFill="1" applyBorder="1" applyAlignment="1">
      <alignment horizontal="left" vertical="center"/>
    </xf>
    <xf numFmtId="0" fontId="6" fillId="2" borderId="21" xfId="0" applyFont="1" applyFill="1" applyBorder="1" applyAlignment="1">
      <alignment horizontal="left" vertical="center"/>
    </xf>
    <xf numFmtId="0" fontId="16" fillId="2" borderId="0" xfId="2" applyFill="1" applyBorder="1"/>
    <xf numFmtId="0" fontId="2" fillId="3" borderId="3" xfId="0" applyFont="1" applyFill="1" applyBorder="1" applyAlignment="1">
      <alignment horizontal="center"/>
    </xf>
    <xf numFmtId="0" fontId="2" fillId="3" borderId="0" xfId="0" applyFont="1" applyFill="1" applyBorder="1" applyAlignment="1">
      <alignment horizontal="center"/>
    </xf>
    <xf numFmtId="0" fontId="2" fillId="3" borderId="4" xfId="0" applyFont="1" applyFill="1" applyBorder="1" applyAlignment="1">
      <alignment horizontal="center"/>
    </xf>
    <xf numFmtId="0" fontId="2" fillId="3" borderId="1" xfId="0" applyFont="1" applyFill="1" applyBorder="1" applyAlignment="1">
      <alignment horizontal="left"/>
    </xf>
    <xf numFmtId="0" fontId="2" fillId="3" borderId="14" xfId="0" applyFont="1" applyFill="1" applyBorder="1" applyAlignment="1">
      <alignment horizontal="left"/>
    </xf>
    <xf numFmtId="0" fontId="2" fillId="3" borderId="2" xfId="0" applyFont="1" applyFill="1" applyBorder="1" applyAlignment="1">
      <alignment horizontal="left"/>
    </xf>
    <xf numFmtId="0" fontId="6" fillId="2" borderId="19" xfId="0" applyFont="1" applyFill="1" applyBorder="1" applyAlignment="1">
      <alignment horizontal="left" vertical="center"/>
    </xf>
    <xf numFmtId="0" fontId="6" fillId="2" borderId="0" xfId="0" applyFont="1" applyFill="1" applyBorder="1" applyAlignment="1">
      <alignment horizontal="left" vertical="center"/>
    </xf>
    <xf numFmtId="0" fontId="10" fillId="3" borderId="3" xfId="0" applyFont="1" applyFill="1" applyBorder="1" applyAlignment="1">
      <alignment horizontal="center" vertical="center" textRotation="90"/>
    </xf>
    <xf numFmtId="0" fontId="10" fillId="3" borderId="5" xfId="0" applyFont="1" applyFill="1" applyBorder="1" applyAlignment="1">
      <alignment horizontal="center" vertical="center" textRotation="90"/>
    </xf>
    <xf numFmtId="0" fontId="8" fillId="3" borderId="0" xfId="0" applyFont="1" applyFill="1" applyBorder="1" applyAlignment="1">
      <alignment horizontal="center"/>
    </xf>
    <xf numFmtId="0" fontId="8" fillId="3" borderId="4" xfId="0" applyFont="1" applyFill="1" applyBorder="1" applyAlignment="1">
      <alignment horizontal="center"/>
    </xf>
    <xf numFmtId="0" fontId="2" fillId="3" borderId="1" xfId="0" applyFont="1" applyFill="1" applyBorder="1" applyAlignment="1">
      <alignment horizontal="center"/>
    </xf>
    <xf numFmtId="0" fontId="2" fillId="3" borderId="14" xfId="0" applyFont="1" applyFill="1" applyBorder="1" applyAlignment="1">
      <alignment horizontal="center"/>
    </xf>
    <xf numFmtId="0" fontId="2" fillId="3" borderId="2" xfId="0" applyFont="1" applyFill="1" applyBorder="1" applyAlignment="1">
      <alignment horizontal="center"/>
    </xf>
    <xf numFmtId="0" fontId="14" fillId="2" borderId="12" xfId="0" applyFont="1" applyFill="1" applyBorder="1" applyAlignment="1">
      <alignment horizontal="center" vertical="center" textRotation="90"/>
    </xf>
    <xf numFmtId="0" fontId="14" fillId="2" borderId="4" xfId="0" applyFont="1" applyFill="1" applyBorder="1" applyAlignment="1">
      <alignment horizontal="center" vertical="center" textRotation="90"/>
    </xf>
    <xf numFmtId="0" fontId="6" fillId="2" borderId="1" xfId="0" applyFont="1" applyFill="1" applyBorder="1" applyAlignment="1">
      <alignment horizontal="left" vertical="center"/>
    </xf>
    <xf numFmtId="0" fontId="6" fillId="2" borderId="14" xfId="0" applyFont="1" applyFill="1" applyBorder="1" applyAlignment="1">
      <alignment horizontal="left" vertical="center"/>
    </xf>
    <xf numFmtId="0" fontId="6" fillId="2" borderId="2" xfId="0" applyFont="1" applyFill="1" applyBorder="1" applyAlignment="1">
      <alignment horizontal="left" vertical="center"/>
    </xf>
    <xf numFmtId="0" fontId="6" fillId="2" borderId="5" xfId="0" applyFont="1" applyFill="1" applyBorder="1" applyAlignment="1">
      <alignment horizontal="left" vertical="center"/>
    </xf>
    <xf numFmtId="0" fontId="6" fillId="2" borderId="15" xfId="0" applyFont="1" applyFill="1" applyBorder="1" applyAlignment="1">
      <alignment horizontal="left" vertical="center"/>
    </xf>
    <xf numFmtId="0" fontId="6" fillId="2" borderId="6" xfId="0" applyFont="1" applyFill="1" applyBorder="1" applyAlignment="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15" fillId="2" borderId="0" xfId="0" applyFont="1" applyFill="1" applyBorder="1" applyAlignment="1">
      <alignment horizontal="center" vertical="center"/>
    </xf>
    <xf numFmtId="0" fontId="2" fillId="3" borderId="17" xfId="0" applyFont="1" applyFill="1" applyBorder="1" applyAlignment="1">
      <alignment horizontal="left"/>
    </xf>
    <xf numFmtId="0" fontId="2" fillId="3" borderId="24" xfId="0" applyFont="1" applyFill="1" applyBorder="1" applyAlignment="1">
      <alignment horizontal="left"/>
    </xf>
    <xf numFmtId="0" fontId="2" fillId="3" borderId="18" xfId="0" applyFont="1" applyFill="1" applyBorder="1" applyAlignment="1">
      <alignment horizontal="left"/>
    </xf>
  </cellXfs>
  <cellStyles count="3">
    <cellStyle name="Hyperlink" xfId="2" builtinId="8"/>
    <cellStyle name="Normal" xfId="0" builtinId="0"/>
    <cellStyle name="Percent" xfId="1" builtinId="5"/>
  </cellStyles>
  <dxfs count="21">
    <dxf>
      <font>
        <color theme="0"/>
      </font>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2" tint="-9.9948118533890809E-2"/>
      </font>
      <fill>
        <patternFill>
          <bgColor theme="2" tint="-9.9948118533890809E-2"/>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theme="0" tint="-0.24994659260841701"/>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31750</xdr:colOff>
      <xdr:row>62</xdr:row>
      <xdr:rowOff>158750</xdr:rowOff>
    </xdr:from>
    <xdr:to>
      <xdr:col>6</xdr:col>
      <xdr:colOff>0</xdr:colOff>
      <xdr:row>88</xdr:row>
      <xdr:rowOff>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22250" y="12255500"/>
          <a:ext cx="6413500" cy="479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Solver Explanation</a:t>
          </a:r>
        </a:p>
        <a:p>
          <a:endParaRPr lang="en-US" sz="1100"/>
        </a:p>
        <a:p>
          <a:r>
            <a:rPr lang="en-US" sz="1100"/>
            <a:t>If modeling for a catch</a:t>
          </a:r>
          <a:r>
            <a:rPr lang="en-US" sz="1100" baseline="0"/>
            <a:t> up clause you must use Goal Seek or Solver after changing any of the assumptions in the DCF model, or after changing any of the assumptions in the Inputs section on this sheet for anything in or above the Catch Up section (rows 36 and above). There will be three warning signs that will appear on the model to let you know that you must use these functions: one to the right of this text will appear, one on the top of the waterfall model and one in cell E33.</a:t>
          </a:r>
        </a:p>
        <a:p>
          <a:endParaRPr lang="en-US" sz="1100" baseline="0"/>
        </a:p>
        <a:p>
          <a:r>
            <a:rPr lang="en-US" sz="1100" baseline="0"/>
            <a:t>How To Calibrate the Catch Up Clause using Solver</a:t>
          </a:r>
        </a:p>
        <a:p>
          <a:endParaRPr lang="en-US" sz="1100" baseline="0"/>
        </a:p>
        <a:p>
          <a:r>
            <a:rPr lang="en-US" sz="1100" baseline="0"/>
            <a:t>1. Open Solver</a:t>
          </a:r>
        </a:p>
        <a:p>
          <a:r>
            <a:rPr lang="en-US" sz="1100" baseline="0"/>
            <a:t>2. Set Objective: click cell L68</a:t>
          </a:r>
        </a:p>
        <a:p>
          <a:r>
            <a:rPr lang="en-US" sz="1100" baseline="0"/>
            <a:t>3. Click the 'Value Of' option</a:t>
          </a:r>
        </a:p>
        <a:p>
          <a:r>
            <a:rPr lang="en-US" sz="1100" baseline="0"/>
            <a:t>4. To the right of 'Value Of' you must manually type in the percentage you want to match that you put in Cell D33. For example, if you want to match an 8% catch up for the sponsor, you must type 0.08.</a:t>
          </a:r>
        </a:p>
        <a:p>
          <a:r>
            <a:rPr lang="en-US" sz="1100"/>
            <a:t>5. By Changing</a:t>
          </a:r>
          <a:r>
            <a:rPr lang="en-US" sz="1100" baseline="0"/>
            <a:t> Variable Cell: D39</a:t>
          </a:r>
        </a:p>
        <a:p>
          <a:r>
            <a:rPr lang="en-US" sz="1100" baseline="0"/>
            <a:t>6. Click 'Solve' in the bottom right</a:t>
          </a:r>
        </a:p>
        <a:p>
          <a:endParaRPr lang="en-US" sz="1100" baseline="0"/>
        </a:p>
        <a:p>
          <a:r>
            <a:rPr lang="en-US" sz="1100" baseline="0">
              <a:solidFill>
                <a:schemeClr val="dk1"/>
              </a:solidFill>
              <a:effectLst/>
              <a:latin typeface="+mn-lt"/>
              <a:ea typeface="+mn-ea"/>
              <a:cs typeface="+mn-cs"/>
            </a:rPr>
            <a:t>How To Calibrate the Catch Up Clause using Goal Seek</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1. Click on What-If Analysis</a:t>
          </a:r>
        </a:p>
        <a:p>
          <a:r>
            <a:rPr lang="en-US" sz="1100" baseline="0">
              <a:solidFill>
                <a:schemeClr val="dk1"/>
              </a:solidFill>
              <a:effectLst/>
              <a:latin typeface="+mn-lt"/>
              <a:ea typeface="+mn-ea"/>
              <a:cs typeface="+mn-cs"/>
            </a:rPr>
            <a:t>2. Clcik Goal Seek</a:t>
          </a:r>
        </a:p>
        <a:p>
          <a:r>
            <a:rPr lang="en-US" sz="1100" baseline="0">
              <a:solidFill>
                <a:schemeClr val="dk1"/>
              </a:solidFill>
              <a:effectLst/>
              <a:latin typeface="+mn-lt"/>
              <a:ea typeface="+mn-ea"/>
              <a:cs typeface="+mn-cs"/>
            </a:rPr>
            <a:t>3. Set Cell: L68</a:t>
          </a: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4. In the 'To Value' section you must manually type in the percentage you want to match that you put in Cell D33. For example, if you want to match an 8% catch up for the sponsor, you must type 0.08.</a:t>
          </a:r>
          <a:endParaRPr lang="en-US">
            <a:effectLst/>
          </a:endParaRPr>
        </a:p>
        <a:p>
          <a:r>
            <a:rPr lang="en-US" sz="1100" baseline="0">
              <a:solidFill>
                <a:schemeClr val="dk1"/>
              </a:solidFill>
              <a:effectLst/>
              <a:latin typeface="+mn-lt"/>
              <a:ea typeface="+mn-ea"/>
              <a:cs typeface="+mn-cs"/>
            </a:rPr>
            <a:t>5. By Changing Cell: Click Cell D39</a:t>
          </a:r>
        </a:p>
        <a:p>
          <a:r>
            <a:rPr lang="en-US" sz="1100" baseline="0">
              <a:solidFill>
                <a:schemeClr val="dk1"/>
              </a:solidFill>
              <a:effectLst/>
              <a:latin typeface="+mn-lt"/>
              <a:ea typeface="+mn-ea"/>
              <a:cs typeface="+mn-cs"/>
            </a:rPr>
            <a:t>Note: Sometimes Goal Seek will not get you to the exact number you need to match. If this is the case, use Solver to calibrate</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dventuresincre.com/new-real-estate-jv-waterfall-model/" TargetMode="External"/><Relationship Id="rId1" Type="http://schemas.openxmlformats.org/officeDocument/2006/relationships/hyperlink" Target="https://www.adventuresincre.com/re-modeling/excel-models/equity-waterfal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dventuresincre.com/new-real-estate-jv-waterfall-model/" TargetMode="External"/><Relationship Id="rId1" Type="http://schemas.openxmlformats.org/officeDocument/2006/relationships/hyperlink" Target="https://www.adventuresincre.com/re-modeling/excel-models/equity-waterfall/"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hyperlink" Target="https://www.adventuresincre.com/new-real-estate-jv-waterfall-model/" TargetMode="External"/><Relationship Id="rId1" Type="http://schemas.openxmlformats.org/officeDocument/2006/relationships/hyperlink" Target="https://www.adventuresincre.com/re-modeling/excel-models/equity-waterfal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E85"/>
  <sheetViews>
    <sheetView zoomScale="85" zoomScaleNormal="85" workbookViewId="0"/>
  </sheetViews>
  <sheetFormatPr defaultRowHeight="15" x14ac:dyDescent="0.25"/>
  <cols>
    <col min="1" max="2" width="2.7109375" style="103" customWidth="1"/>
    <col min="3" max="3" width="54.7109375" style="103" bestFit="1" customWidth="1"/>
    <col min="4" max="4" width="2.7109375" style="103" customWidth="1"/>
    <col min="5" max="5" width="30.140625" style="103" bestFit="1" customWidth="1"/>
    <col min="6" max="8" width="2.7109375" style="103" customWidth="1"/>
    <col min="9" max="9" width="21" style="103" bestFit="1" customWidth="1"/>
    <col min="10" max="10" width="11.7109375" style="103" customWidth="1"/>
    <col min="11" max="13" width="2.7109375" style="103" customWidth="1"/>
    <col min="14" max="14" width="10.5703125" style="103" bestFit="1" customWidth="1"/>
    <col min="15" max="15" width="49.42578125" style="103" bestFit="1" customWidth="1"/>
    <col min="16" max="16" width="17.85546875" style="103" bestFit="1" customWidth="1"/>
    <col min="17" max="17" width="14.85546875" style="103" bestFit="1" customWidth="1"/>
    <col min="18" max="18" width="15" style="103" bestFit="1" customWidth="1"/>
    <col min="19" max="20" width="14.85546875" style="103" bestFit="1" customWidth="1"/>
    <col min="21" max="21" width="15.28515625" style="103" bestFit="1" customWidth="1"/>
    <col min="22" max="22" width="14.85546875" style="103" bestFit="1" customWidth="1"/>
    <col min="23" max="23" width="16.42578125" style="103" bestFit="1" customWidth="1"/>
    <col min="24" max="24" width="14.85546875" style="103" bestFit="1" customWidth="1"/>
    <col min="25" max="27" width="13.42578125" style="103" bestFit="1" customWidth="1"/>
    <col min="28" max="30" width="2.7109375" style="103" customWidth="1"/>
    <col min="31" max="31" width="44.28515625" style="103" bestFit="1" customWidth="1"/>
    <col min="32" max="32" width="17.7109375" style="103" bestFit="1" customWidth="1"/>
    <col min="33" max="34" width="16.85546875" style="103" bestFit="1" customWidth="1"/>
    <col min="35" max="35" width="19.7109375" style="103" bestFit="1" customWidth="1"/>
    <col min="36" max="37" width="16.85546875" style="103" bestFit="1" customWidth="1"/>
    <col min="38" max="39" width="16.42578125" style="103" bestFit="1" customWidth="1"/>
    <col min="40" max="43" width="16.85546875" style="103" bestFit="1" customWidth="1"/>
    <col min="44" max="45" width="2.7109375" style="103" customWidth="1"/>
    <col min="46" max="46" width="10.140625" style="103" bestFit="1" customWidth="1"/>
    <col min="47" max="47" width="9.140625" style="103"/>
    <col min="48" max="48" width="14.7109375" style="103" bestFit="1" customWidth="1"/>
    <col min="49" max="54" width="9.140625" style="103"/>
    <col min="55" max="55" width="6.28515625" style="103" bestFit="1" customWidth="1"/>
    <col min="56" max="56" width="3.85546875" style="103" bestFit="1" customWidth="1"/>
    <col min="57" max="57" width="5" style="103" bestFit="1" customWidth="1"/>
    <col min="58" max="16384" width="9.140625" style="103"/>
  </cols>
  <sheetData>
    <row r="1" spans="2:57" ht="15.75" thickBot="1" x14ac:dyDescent="0.3"/>
    <row r="2" spans="2:57" ht="15" customHeight="1" x14ac:dyDescent="0.25">
      <c r="B2" s="124"/>
      <c r="C2" s="436" t="str">
        <f>Waterfall!C2</f>
        <v>JV Waterfall Model with Catch Up</v>
      </c>
      <c r="D2" s="436"/>
      <c r="E2" s="436"/>
      <c r="F2" s="427"/>
    </row>
    <row r="3" spans="2:57" ht="15" customHeight="1" x14ac:dyDescent="0.25">
      <c r="B3" s="6"/>
      <c r="C3" s="437"/>
      <c r="D3" s="437"/>
      <c r="E3" s="437"/>
      <c r="F3" s="428"/>
    </row>
    <row r="4" spans="2:57" ht="15" customHeight="1" x14ac:dyDescent="0.25">
      <c r="B4" s="6"/>
      <c r="C4" s="20" t="s">
        <v>66</v>
      </c>
      <c r="D4" s="20"/>
      <c r="E4" s="20"/>
      <c r="F4" s="127"/>
    </row>
    <row r="5" spans="2:57" ht="15" customHeight="1" x14ac:dyDescent="0.25">
      <c r="B5" s="6"/>
      <c r="C5" s="429" t="s">
        <v>193</v>
      </c>
      <c r="D5" s="20"/>
      <c r="E5" s="20"/>
      <c r="F5" s="127"/>
    </row>
    <row r="6" spans="2:57" ht="21.75" customHeight="1" thickBot="1" x14ac:dyDescent="0.3">
      <c r="B6" s="7"/>
      <c r="C6" s="425" t="s">
        <v>194</v>
      </c>
      <c r="D6" s="129"/>
      <c r="E6" s="129"/>
      <c r="F6" s="131"/>
    </row>
    <row r="7" spans="2:57" ht="15.75" thickBot="1" x14ac:dyDescent="0.3">
      <c r="C7" s="130"/>
      <c r="D7" s="130"/>
      <c r="E7" s="130"/>
      <c r="F7" s="130"/>
      <c r="G7" s="122"/>
      <c r="L7" s="122"/>
      <c r="AC7" s="122"/>
    </row>
    <row r="8" spans="2:57" ht="15" customHeight="1" x14ac:dyDescent="0.25">
      <c r="B8" s="124"/>
      <c r="C8" s="1"/>
      <c r="D8" s="1"/>
      <c r="E8" s="1"/>
      <c r="F8" s="169"/>
      <c r="G8" s="185"/>
      <c r="H8" s="168"/>
      <c r="I8" s="168"/>
      <c r="J8" s="168"/>
      <c r="K8" s="125"/>
      <c r="L8" s="186"/>
      <c r="M8" s="125"/>
      <c r="N8" s="125"/>
      <c r="O8" s="125"/>
      <c r="P8" s="125"/>
      <c r="Q8" s="125"/>
      <c r="R8" s="125"/>
      <c r="S8" s="125"/>
      <c r="T8" s="125"/>
      <c r="U8" s="125"/>
      <c r="V8" s="125"/>
      <c r="W8" s="125"/>
      <c r="X8" s="125"/>
      <c r="Y8" s="125"/>
      <c r="Z8" s="125"/>
      <c r="AA8" s="125"/>
      <c r="AB8" s="126"/>
      <c r="AC8" s="122"/>
      <c r="AD8" s="124"/>
      <c r="AE8" s="208"/>
      <c r="AF8" s="208"/>
      <c r="AG8" s="125"/>
      <c r="AH8" s="125"/>
      <c r="AI8" s="125"/>
      <c r="AJ8" s="125"/>
      <c r="AK8" s="125"/>
      <c r="AL8" s="125"/>
      <c r="AM8" s="125"/>
      <c r="AN8" s="125"/>
      <c r="AO8" s="125"/>
      <c r="AP8" s="125"/>
      <c r="AQ8" s="125"/>
      <c r="AR8" s="126"/>
    </row>
    <row r="9" spans="2:57" ht="26.25" x14ac:dyDescent="0.25">
      <c r="B9" s="6"/>
      <c r="C9" s="169" t="s">
        <v>31</v>
      </c>
      <c r="D9" s="419"/>
      <c r="E9" s="1"/>
      <c r="F9" s="169"/>
      <c r="G9" s="185"/>
      <c r="H9" s="169"/>
      <c r="I9" s="169" t="s">
        <v>68</v>
      </c>
      <c r="J9" s="169"/>
      <c r="K9" s="20"/>
      <c r="L9" s="186"/>
      <c r="M9" s="20"/>
      <c r="N9" s="169" t="s">
        <v>93</v>
      </c>
      <c r="O9" s="20"/>
      <c r="P9" s="20"/>
      <c r="Q9" s="20"/>
      <c r="R9" s="20"/>
      <c r="S9" s="20"/>
      <c r="T9" s="20"/>
      <c r="U9" s="20"/>
      <c r="V9" s="20"/>
      <c r="W9" s="20"/>
      <c r="X9" s="20"/>
      <c r="Y9" s="20"/>
      <c r="Z9" s="20"/>
      <c r="AA9" s="20"/>
      <c r="AB9" s="127"/>
      <c r="AC9" s="122"/>
      <c r="AD9" s="6"/>
      <c r="AE9" s="209" t="s">
        <v>67</v>
      </c>
      <c r="AF9" s="209"/>
      <c r="AG9" s="20"/>
      <c r="AH9" s="20"/>
      <c r="AI9" s="20"/>
      <c r="AJ9" s="20"/>
      <c r="AK9" s="20"/>
      <c r="AL9" s="20"/>
      <c r="AM9" s="20"/>
      <c r="AN9" s="20"/>
      <c r="AO9" s="20"/>
      <c r="AP9" s="20"/>
      <c r="AQ9" s="20"/>
      <c r="AR9" s="127"/>
      <c r="BC9" s="121"/>
      <c r="BD9" s="121">
        <v>0</v>
      </c>
      <c r="BE9" s="121"/>
    </row>
    <row r="10" spans="2:57" x14ac:dyDescent="0.25">
      <c r="B10" s="6"/>
      <c r="C10" s="20"/>
      <c r="D10" s="20"/>
      <c r="E10" s="20"/>
      <c r="F10" s="20"/>
      <c r="G10" s="186"/>
      <c r="H10" s="20"/>
      <c r="I10" s="20"/>
      <c r="J10" s="20"/>
      <c r="K10" s="20"/>
      <c r="L10" s="186"/>
      <c r="M10" s="20"/>
      <c r="N10" s="20"/>
      <c r="O10" s="21"/>
      <c r="P10" s="20"/>
      <c r="Q10" s="20"/>
      <c r="R10" s="20"/>
      <c r="S10" s="20"/>
      <c r="T10" s="20"/>
      <c r="U10" s="20"/>
      <c r="V10" s="20"/>
      <c r="W10" s="20"/>
      <c r="X10" s="20"/>
      <c r="Y10" s="20"/>
      <c r="Z10" s="20"/>
      <c r="AA10" s="20"/>
      <c r="AB10" s="127"/>
      <c r="AC10" s="122"/>
      <c r="AD10" s="6"/>
      <c r="AE10" s="20"/>
      <c r="AF10" s="20"/>
      <c r="AG10" s="20"/>
      <c r="AH10" s="20"/>
      <c r="AI10" s="20"/>
      <c r="AJ10" s="20"/>
      <c r="AK10" s="20"/>
      <c r="AL10" s="20"/>
      <c r="AM10" s="20"/>
      <c r="AN10" s="20"/>
      <c r="AO10" s="20"/>
      <c r="AP10" s="20"/>
      <c r="AQ10" s="20"/>
      <c r="AR10" s="127"/>
      <c r="BC10" s="121">
        <v>0</v>
      </c>
      <c r="BD10" s="121">
        <v>1</v>
      </c>
      <c r="BE10" s="121" t="s">
        <v>34</v>
      </c>
    </row>
    <row r="11" spans="2:57" x14ac:dyDescent="0.25">
      <c r="B11" s="6"/>
      <c r="C11" s="433" t="s">
        <v>31</v>
      </c>
      <c r="D11" s="434"/>
      <c r="E11" s="435"/>
      <c r="F11" s="178"/>
      <c r="G11" s="187"/>
      <c r="H11" s="178"/>
      <c r="I11" s="63" t="s">
        <v>68</v>
      </c>
      <c r="J11" s="64"/>
      <c r="K11" s="20"/>
      <c r="L11" s="186"/>
      <c r="M11" s="20"/>
      <c r="N11" s="151" t="s">
        <v>87</v>
      </c>
      <c r="O11" s="56" t="s">
        <v>63</v>
      </c>
      <c r="P11" s="57"/>
      <c r="Q11" s="57"/>
      <c r="R11" s="57"/>
      <c r="S11" s="57"/>
      <c r="T11" s="57"/>
      <c r="U11" s="57"/>
      <c r="V11" s="57"/>
      <c r="W11" s="57"/>
      <c r="X11" s="57"/>
      <c r="Y11" s="57"/>
      <c r="Z11" s="57"/>
      <c r="AA11" s="58"/>
      <c r="AB11" s="127"/>
      <c r="AC11" s="122"/>
      <c r="AD11" s="6"/>
      <c r="AE11" s="49" t="s">
        <v>51</v>
      </c>
      <c r="AF11" s="50"/>
      <c r="AG11" s="50"/>
      <c r="AH11" s="50"/>
      <c r="AI11" s="107">
        <v>0.08</v>
      </c>
      <c r="AJ11" s="1"/>
      <c r="AK11" s="1"/>
      <c r="AL11" s="1"/>
      <c r="AM11" s="1"/>
      <c r="AN11" s="1"/>
      <c r="AO11" s="1"/>
      <c r="AP11" s="1"/>
      <c r="AQ11" s="1"/>
      <c r="AR11" s="127"/>
      <c r="BC11" s="121">
        <v>0.5</v>
      </c>
      <c r="BD11" s="121">
        <v>2</v>
      </c>
      <c r="BE11" s="121" t="s">
        <v>45</v>
      </c>
    </row>
    <row r="12" spans="2:57" x14ac:dyDescent="0.25">
      <c r="B12" s="6"/>
      <c r="C12" s="430"/>
      <c r="D12" s="431"/>
      <c r="E12" s="432"/>
      <c r="F12" s="179"/>
      <c r="G12" s="188"/>
      <c r="H12" s="179"/>
      <c r="I12" s="35"/>
      <c r="J12" s="180"/>
      <c r="K12" s="20"/>
      <c r="L12" s="186"/>
      <c r="M12" s="20"/>
      <c r="N12" s="152" t="s">
        <v>88</v>
      </c>
      <c r="O12" s="18" t="s">
        <v>36</v>
      </c>
      <c r="P12" s="59">
        <v>0</v>
      </c>
      <c r="Q12" s="59">
        <v>1</v>
      </c>
      <c r="R12" s="59">
        <v>2</v>
      </c>
      <c r="S12" s="59">
        <v>3</v>
      </c>
      <c r="T12" s="59">
        <v>4</v>
      </c>
      <c r="U12" s="59">
        <v>5</v>
      </c>
      <c r="V12" s="59">
        <v>6</v>
      </c>
      <c r="W12" s="59">
        <v>7</v>
      </c>
      <c r="X12" s="59">
        <v>8</v>
      </c>
      <c r="Y12" s="59">
        <v>9</v>
      </c>
      <c r="Z12" s="59">
        <v>10</v>
      </c>
      <c r="AA12" s="60">
        <v>11</v>
      </c>
      <c r="AB12" s="127"/>
      <c r="AC12" s="122"/>
      <c r="AD12" s="6"/>
      <c r="AE12" s="2" t="s">
        <v>50</v>
      </c>
      <c r="AF12" s="20"/>
      <c r="AG12" s="20"/>
      <c r="AH12" s="20"/>
      <c r="AI12" s="108">
        <v>0.14000000000000001</v>
      </c>
      <c r="AJ12" s="1"/>
      <c r="AK12" s="1"/>
      <c r="AL12" s="1"/>
      <c r="AM12" s="1"/>
      <c r="AN12" s="1"/>
      <c r="AO12" s="1"/>
      <c r="AP12" s="1"/>
      <c r="AQ12" s="1"/>
      <c r="AR12" s="127"/>
      <c r="BC12" s="121">
        <v>1</v>
      </c>
      <c r="BD12" s="121">
        <v>3</v>
      </c>
      <c r="BE12" s="121"/>
    </row>
    <row r="13" spans="2:57" x14ac:dyDescent="0.25">
      <c r="B13" s="6"/>
      <c r="C13" s="2" t="s">
        <v>74</v>
      </c>
      <c r="D13" s="20"/>
      <c r="E13" s="8" t="s">
        <v>77</v>
      </c>
      <c r="F13" s="170"/>
      <c r="G13" s="189"/>
      <c r="H13" s="170"/>
      <c r="I13" s="67" t="s">
        <v>63</v>
      </c>
      <c r="J13" s="83"/>
      <c r="K13" s="20"/>
      <c r="L13" s="186"/>
      <c r="M13" s="20"/>
      <c r="N13" s="154"/>
      <c r="O13" s="2" t="s">
        <v>0</v>
      </c>
      <c r="P13" s="19">
        <f>-$E$16*(1+$E$18)</f>
        <v>-10300000</v>
      </c>
      <c r="Q13" s="20"/>
      <c r="R13" s="20"/>
      <c r="S13" s="20"/>
      <c r="T13" s="20"/>
      <c r="U13" s="20"/>
      <c r="V13" s="20"/>
      <c r="W13" s="20"/>
      <c r="X13" s="20"/>
      <c r="Y13" s="20"/>
      <c r="Z13" s="20"/>
      <c r="AA13" s="83"/>
      <c r="AB13" s="127"/>
      <c r="AC13" s="122"/>
      <c r="AD13" s="6"/>
      <c r="AE13" s="2" t="s">
        <v>41</v>
      </c>
      <c r="AF13" s="20"/>
      <c r="AG13" s="20"/>
      <c r="AH13" s="20"/>
      <c r="AI13" s="109">
        <v>5000</v>
      </c>
      <c r="AJ13" s="1"/>
      <c r="AK13" s="1"/>
      <c r="AL13" s="1"/>
      <c r="AM13" s="1"/>
      <c r="AN13" s="1"/>
      <c r="AO13" s="1"/>
      <c r="AP13" s="1"/>
      <c r="AQ13" s="1"/>
      <c r="AR13" s="127"/>
      <c r="BC13" s="121">
        <v>1.5</v>
      </c>
      <c r="BD13" s="121">
        <v>4</v>
      </c>
      <c r="BE13" s="121"/>
    </row>
    <row r="14" spans="2:57" x14ac:dyDescent="0.25">
      <c r="B14" s="6"/>
      <c r="C14" s="2" t="s">
        <v>33</v>
      </c>
      <c r="D14" s="20"/>
      <c r="E14" s="8" t="s">
        <v>78</v>
      </c>
      <c r="F14" s="170"/>
      <c r="G14" s="189"/>
      <c r="H14" s="170"/>
      <c r="I14" s="3" t="s">
        <v>54</v>
      </c>
      <c r="J14" s="145">
        <f>P34</f>
        <v>0.10578947747199319</v>
      </c>
      <c r="K14" s="20"/>
      <c r="L14" s="186"/>
      <c r="M14" s="20"/>
      <c r="N14" s="156">
        <v>0.03</v>
      </c>
      <c r="O14" s="67" t="s">
        <v>79</v>
      </c>
      <c r="P14" s="69"/>
      <c r="Q14" s="65">
        <f>E23</f>
        <v>1248000</v>
      </c>
      <c r="R14" s="65">
        <f t="shared" ref="R14:AA14" si="0">IF(Q12&gt;$E$19,"",Q14*(1+$N$14))</f>
        <v>1285440</v>
      </c>
      <c r="S14" s="65">
        <f t="shared" si="0"/>
        <v>1324003.2</v>
      </c>
      <c r="T14" s="65">
        <f t="shared" si="0"/>
        <v>1363723.2960000001</v>
      </c>
      <c r="U14" s="65">
        <f t="shared" si="0"/>
        <v>1404634.9948800001</v>
      </c>
      <c r="V14" s="65">
        <f t="shared" si="0"/>
        <v>1446774.0447264002</v>
      </c>
      <c r="W14" s="65">
        <f t="shared" si="0"/>
        <v>1490177.2660681922</v>
      </c>
      <c r="X14" s="65" t="str">
        <f t="shared" si="0"/>
        <v/>
      </c>
      <c r="Y14" s="65" t="str">
        <f t="shared" si="0"/>
        <v/>
      </c>
      <c r="Z14" s="65" t="str">
        <f t="shared" si="0"/>
        <v/>
      </c>
      <c r="AA14" s="80" t="str">
        <f t="shared" si="0"/>
        <v/>
      </c>
      <c r="AB14" s="127"/>
      <c r="AC14" s="122"/>
      <c r="AD14" s="6"/>
      <c r="AE14" s="4" t="s">
        <v>42</v>
      </c>
      <c r="AF14" s="21"/>
      <c r="AG14" s="21"/>
      <c r="AH14" s="21"/>
      <c r="AI14" s="110">
        <v>100000</v>
      </c>
      <c r="AJ14" s="1"/>
      <c r="AK14" s="1"/>
      <c r="AL14" s="1"/>
      <c r="AM14" s="1"/>
      <c r="AN14" s="1"/>
      <c r="AO14" s="1"/>
      <c r="AP14" s="1"/>
      <c r="AQ14" s="1"/>
      <c r="AR14" s="127"/>
      <c r="BC14" s="121">
        <v>2</v>
      </c>
      <c r="BD14" s="121">
        <v>5</v>
      </c>
      <c r="BE14" s="121"/>
    </row>
    <row r="15" spans="2:57" x14ac:dyDescent="0.25">
      <c r="B15" s="6"/>
      <c r="C15" s="2" t="s">
        <v>75</v>
      </c>
      <c r="D15" s="20"/>
      <c r="E15" s="8">
        <v>50000</v>
      </c>
      <c r="F15" s="170"/>
      <c r="G15" s="189"/>
      <c r="H15" s="170"/>
      <c r="I15" s="3" t="s">
        <v>55</v>
      </c>
      <c r="J15" s="146">
        <f>P35</f>
        <v>1.7024268110951539</v>
      </c>
      <c r="K15" s="20"/>
      <c r="L15" s="186"/>
      <c r="M15" s="20"/>
      <c r="N15" s="155"/>
      <c r="O15" s="2" t="s">
        <v>81</v>
      </c>
      <c r="P15" s="20"/>
      <c r="Q15" s="19">
        <f t="shared" ref="Q15:AA15" si="1">IF(P12&gt;$E$19,"",Q14*$E$24)</f>
        <v>124800</v>
      </c>
      <c r="R15" s="19">
        <f t="shared" si="1"/>
        <v>128544</v>
      </c>
      <c r="S15" s="19">
        <f t="shared" si="1"/>
        <v>132400.32000000001</v>
      </c>
      <c r="T15" s="19">
        <f t="shared" si="1"/>
        <v>136372.32960000003</v>
      </c>
      <c r="U15" s="19">
        <f t="shared" si="1"/>
        <v>140463.49948800003</v>
      </c>
      <c r="V15" s="19">
        <f t="shared" si="1"/>
        <v>144677.40447264002</v>
      </c>
      <c r="W15" s="19">
        <f t="shared" si="1"/>
        <v>149017.72660681923</v>
      </c>
      <c r="X15" s="19" t="str">
        <f t="shared" si="1"/>
        <v/>
      </c>
      <c r="Y15" s="19" t="str">
        <f t="shared" si="1"/>
        <v/>
      </c>
      <c r="Z15" s="19" t="str">
        <f t="shared" si="1"/>
        <v/>
      </c>
      <c r="AA15" s="78" t="str">
        <f t="shared" si="1"/>
        <v/>
      </c>
      <c r="AB15" s="127"/>
      <c r="AC15" s="122"/>
      <c r="AD15" s="6"/>
      <c r="AE15" s="1"/>
      <c r="AF15" s="1"/>
      <c r="AG15" s="1"/>
      <c r="AH15" s="1"/>
      <c r="AI15" s="1"/>
      <c r="AJ15" s="1"/>
      <c r="AK15" s="1"/>
      <c r="AL15" s="1"/>
      <c r="AM15" s="1"/>
      <c r="AN15" s="1"/>
      <c r="AO15" s="1"/>
      <c r="AP15" s="1"/>
      <c r="AQ15" s="1"/>
      <c r="AR15" s="127"/>
      <c r="BC15" s="121">
        <v>2.5</v>
      </c>
      <c r="BD15" s="121">
        <v>6</v>
      </c>
      <c r="BE15" s="121"/>
    </row>
    <row r="16" spans="2:57" x14ac:dyDescent="0.25">
      <c r="B16" s="6"/>
      <c r="C16" s="2" t="s">
        <v>0</v>
      </c>
      <c r="D16" s="20"/>
      <c r="E16" s="8">
        <v>10000000</v>
      </c>
      <c r="F16" s="170"/>
      <c r="G16" s="189"/>
      <c r="H16" s="170"/>
      <c r="I16" s="3" t="s">
        <v>91</v>
      </c>
      <c r="J16" s="181">
        <f>P36</f>
        <v>7234996.1542800842</v>
      </c>
      <c r="K16" s="20"/>
      <c r="L16" s="186"/>
      <c r="M16" s="20"/>
      <c r="N16" s="154"/>
      <c r="O16" s="4" t="s">
        <v>82</v>
      </c>
      <c r="P16" s="21"/>
      <c r="Q16" s="159"/>
      <c r="R16" s="159">
        <v>50000</v>
      </c>
      <c r="S16" s="159">
        <v>50000</v>
      </c>
      <c r="T16" s="159"/>
      <c r="U16" s="159"/>
      <c r="V16" s="159"/>
      <c r="W16" s="159"/>
      <c r="X16" s="159"/>
      <c r="Y16" s="159"/>
      <c r="Z16" s="48"/>
      <c r="AA16" s="79"/>
      <c r="AB16" s="127"/>
      <c r="AC16" s="122"/>
      <c r="AD16" s="6"/>
      <c r="AE16" s="29" t="s">
        <v>61</v>
      </c>
      <c r="AF16" s="30"/>
      <c r="AG16" s="30"/>
      <c r="AH16" s="30"/>
      <c r="AI16" s="30"/>
      <c r="AJ16" s="30"/>
      <c r="AK16" s="30"/>
      <c r="AL16" s="30"/>
      <c r="AM16" s="30"/>
      <c r="AN16" s="30"/>
      <c r="AO16" s="30"/>
      <c r="AP16" s="30"/>
      <c r="AQ16" s="34"/>
      <c r="AR16" s="127"/>
      <c r="BC16" s="121">
        <v>3</v>
      </c>
      <c r="BD16" s="121">
        <v>7</v>
      </c>
      <c r="BE16" s="121"/>
    </row>
    <row r="17" spans="2:57" x14ac:dyDescent="0.25">
      <c r="B17" s="6"/>
      <c r="C17" s="2" t="s">
        <v>76</v>
      </c>
      <c r="D17" s="20"/>
      <c r="E17" s="149">
        <f>E16/E15</f>
        <v>200</v>
      </c>
      <c r="F17" s="171"/>
      <c r="G17" s="190"/>
      <c r="H17" s="171"/>
      <c r="I17" s="3" t="s">
        <v>56</v>
      </c>
      <c r="J17" s="182">
        <f>P37</f>
        <v>5.1780228818588903</v>
      </c>
      <c r="K17" s="20"/>
      <c r="L17" s="186"/>
      <c r="M17" s="20"/>
      <c r="N17" s="154"/>
      <c r="O17" s="67" t="s">
        <v>52</v>
      </c>
      <c r="P17" s="20"/>
      <c r="Q17" s="65">
        <f>Q14-SUM(Q15:Q16)</f>
        <v>1123200</v>
      </c>
      <c r="R17" s="65">
        <f t="shared" ref="R17:AA17" si="2">IF(Q12&gt;$E$19,"",R14-SUM(R15,R16))</f>
        <v>1106896</v>
      </c>
      <c r="S17" s="65">
        <f t="shared" si="2"/>
        <v>1141602.8799999999</v>
      </c>
      <c r="T17" s="65">
        <f t="shared" si="2"/>
        <v>1227350.9664</v>
      </c>
      <c r="U17" s="65">
        <f t="shared" si="2"/>
        <v>1264171.4953920001</v>
      </c>
      <c r="V17" s="65">
        <f t="shared" si="2"/>
        <v>1302096.6402537602</v>
      </c>
      <c r="W17" s="65">
        <f t="shared" si="2"/>
        <v>1341159.5394613729</v>
      </c>
      <c r="X17" s="65" t="str">
        <f t="shared" si="2"/>
        <v/>
      </c>
      <c r="Y17" s="65" t="str">
        <f t="shared" si="2"/>
        <v/>
      </c>
      <c r="Z17" s="65" t="str">
        <f t="shared" si="2"/>
        <v/>
      </c>
      <c r="AA17" s="80" t="str">
        <f t="shared" si="2"/>
        <v/>
      </c>
      <c r="AB17" s="127"/>
      <c r="AC17" s="122"/>
      <c r="AD17" s="6"/>
      <c r="AE17" s="38" t="s">
        <v>60</v>
      </c>
      <c r="AF17" s="31"/>
      <c r="AG17" s="431" t="s">
        <v>40</v>
      </c>
      <c r="AH17" s="431"/>
      <c r="AI17" s="431"/>
      <c r="AJ17" s="431"/>
      <c r="AK17" s="431"/>
      <c r="AL17" s="431"/>
      <c r="AM17" s="431"/>
      <c r="AN17" s="431"/>
      <c r="AO17" s="431"/>
      <c r="AP17" s="431"/>
      <c r="AQ17" s="432"/>
      <c r="AR17" s="127"/>
      <c r="BC17" s="121">
        <v>3.5</v>
      </c>
      <c r="BD17" s="121">
        <v>8</v>
      </c>
      <c r="BE17" s="121"/>
    </row>
    <row r="18" spans="2:57" ht="15.75" thickBot="1" x14ac:dyDescent="0.3">
      <c r="B18" s="6"/>
      <c r="C18" s="4" t="s">
        <v>48</v>
      </c>
      <c r="D18" s="21"/>
      <c r="E18" s="105">
        <v>0.03</v>
      </c>
      <c r="F18" s="112"/>
      <c r="G18" s="191"/>
      <c r="H18" s="112"/>
      <c r="I18" s="132" t="s">
        <v>69</v>
      </c>
      <c r="J18" s="136">
        <f>AVERAGE(Q38:Z38)</f>
        <v>7.227491520589191E-2</v>
      </c>
      <c r="K18" s="20"/>
      <c r="L18" s="186"/>
      <c r="M18" s="20"/>
      <c r="N18" s="156">
        <v>0.03</v>
      </c>
      <c r="O18" s="2" t="s">
        <v>1</v>
      </c>
      <c r="P18" s="20"/>
      <c r="Q18" s="19">
        <f>E25</f>
        <v>100000</v>
      </c>
      <c r="R18" s="19">
        <f t="shared" ref="R18:AA18" si="3">IF(Q12&gt;$E$19,"",Q18*(1+$N$18))</f>
        <v>103000</v>
      </c>
      <c r="S18" s="19">
        <f t="shared" si="3"/>
        <v>106090</v>
      </c>
      <c r="T18" s="19">
        <f t="shared" si="3"/>
        <v>109272.7</v>
      </c>
      <c r="U18" s="19">
        <f t="shared" si="3"/>
        <v>112550.88099999999</v>
      </c>
      <c r="V18" s="19">
        <f t="shared" si="3"/>
        <v>115927.40742999999</v>
      </c>
      <c r="W18" s="19">
        <f t="shared" si="3"/>
        <v>119405.2296529</v>
      </c>
      <c r="X18" s="19" t="str">
        <f t="shared" si="3"/>
        <v/>
      </c>
      <c r="Y18" s="19" t="str">
        <f t="shared" si="3"/>
        <v/>
      </c>
      <c r="Z18" s="19" t="str">
        <f t="shared" si="3"/>
        <v/>
      </c>
      <c r="AA18" s="78" t="str">
        <f t="shared" si="3"/>
        <v/>
      </c>
      <c r="AB18" s="127"/>
      <c r="AC18" s="122"/>
      <c r="AD18" s="6"/>
      <c r="AE18" s="35"/>
      <c r="AF18" s="36"/>
      <c r="AG18" s="440" t="s">
        <v>0</v>
      </c>
      <c r="AH18" s="440"/>
      <c r="AI18" s="440"/>
      <c r="AJ18" s="440"/>
      <c r="AK18" s="440"/>
      <c r="AL18" s="440"/>
      <c r="AM18" s="440"/>
      <c r="AN18" s="440"/>
      <c r="AO18" s="440"/>
      <c r="AP18" s="440"/>
      <c r="AQ18" s="441"/>
      <c r="AR18" s="127"/>
      <c r="BC18" s="121">
        <v>4</v>
      </c>
      <c r="BD18" s="121">
        <v>9</v>
      </c>
      <c r="BE18" s="121"/>
    </row>
    <row r="19" spans="2:57" ht="15.75" thickBot="1" x14ac:dyDescent="0.3">
      <c r="B19" s="6"/>
      <c r="C19" s="114" t="s">
        <v>43</v>
      </c>
      <c r="D19" s="218"/>
      <c r="E19" s="115">
        <v>6</v>
      </c>
      <c r="F19" s="111"/>
      <c r="G19" s="192"/>
      <c r="H19" s="111"/>
      <c r="I19" s="67" t="s">
        <v>26</v>
      </c>
      <c r="J19" s="14"/>
      <c r="K19" s="20"/>
      <c r="L19" s="186"/>
      <c r="M19" s="20"/>
      <c r="N19" s="156">
        <v>0.03</v>
      </c>
      <c r="O19" s="2" t="s">
        <v>2</v>
      </c>
      <c r="P19" s="20"/>
      <c r="Q19" s="19">
        <f>$E$26</f>
        <v>65000</v>
      </c>
      <c r="R19" s="19">
        <f t="shared" ref="R19:AA19" si="4">IF(Q12&gt;$E$19,"",Q19*(1+$N$19))</f>
        <v>66950</v>
      </c>
      <c r="S19" s="19">
        <f t="shared" si="4"/>
        <v>68958.5</v>
      </c>
      <c r="T19" s="19">
        <f t="shared" si="4"/>
        <v>71027.255000000005</v>
      </c>
      <c r="U19" s="19">
        <f t="shared" si="4"/>
        <v>73158.072650000002</v>
      </c>
      <c r="V19" s="19">
        <f t="shared" si="4"/>
        <v>75352.814829499999</v>
      </c>
      <c r="W19" s="19">
        <f t="shared" si="4"/>
        <v>77613.399274384996</v>
      </c>
      <c r="X19" s="19" t="str">
        <f t="shared" si="4"/>
        <v/>
      </c>
      <c r="Y19" s="19" t="str">
        <f t="shared" si="4"/>
        <v/>
      </c>
      <c r="Z19" s="19" t="str">
        <f t="shared" si="4"/>
        <v/>
      </c>
      <c r="AA19" s="78" t="str">
        <f t="shared" si="4"/>
        <v/>
      </c>
      <c r="AB19" s="127"/>
      <c r="AC19" s="122"/>
      <c r="AD19" s="6"/>
      <c r="AE19" s="35"/>
      <c r="AF19" s="47">
        <f>P34</f>
        <v>0.10578947747199319</v>
      </c>
      <c r="AG19" s="44">
        <f>AH19-$AI$14</f>
        <v>10500000</v>
      </c>
      <c r="AH19" s="44">
        <f>AI19-$AI$14</f>
        <v>10600000</v>
      </c>
      <c r="AI19" s="44">
        <f>AJ19-$AI$14</f>
        <v>10700000</v>
      </c>
      <c r="AJ19" s="44">
        <f>AK19-$AI$14</f>
        <v>10800000</v>
      </c>
      <c r="AK19" s="44">
        <f>AL19-$AI$14</f>
        <v>10900000</v>
      </c>
      <c r="AL19" s="32">
        <v>11000000</v>
      </c>
      <c r="AM19" s="33">
        <f>AL19+$AI$14</f>
        <v>11100000</v>
      </c>
      <c r="AN19" s="33">
        <f>AM19+$AI$14</f>
        <v>11200000</v>
      </c>
      <c r="AO19" s="33">
        <f>AN19+$AI$14</f>
        <v>11300000</v>
      </c>
      <c r="AP19" s="33">
        <f>AO19+$AI$14</f>
        <v>11400000</v>
      </c>
      <c r="AQ19" s="37">
        <f>AP19+$AI$14</f>
        <v>11500000</v>
      </c>
      <c r="AR19" s="127"/>
      <c r="BC19" s="121">
        <v>4.5</v>
      </c>
      <c r="BD19" s="121">
        <v>10</v>
      </c>
      <c r="BE19" s="121"/>
    </row>
    <row r="20" spans="2:57" x14ac:dyDescent="0.25">
      <c r="B20" s="6"/>
      <c r="C20" s="2" t="s">
        <v>83</v>
      </c>
      <c r="D20" s="20"/>
      <c r="E20" s="66">
        <v>1080000</v>
      </c>
      <c r="F20" s="172"/>
      <c r="G20" s="193"/>
      <c r="H20" s="172"/>
      <c r="I20" s="3" t="s">
        <v>54</v>
      </c>
      <c r="J20" s="145">
        <f ca="1">P67</f>
        <v>0.18668933663393528</v>
      </c>
      <c r="K20" s="20"/>
      <c r="L20" s="186"/>
      <c r="M20" s="20"/>
      <c r="N20" s="156">
        <v>0.03</v>
      </c>
      <c r="O20" s="2" t="s">
        <v>3</v>
      </c>
      <c r="P20" s="20"/>
      <c r="Q20" s="19">
        <f>$E$27*$E$16/100</f>
        <v>100000</v>
      </c>
      <c r="R20" s="19">
        <f t="shared" ref="R20:AA20" si="5">IF(Q12&gt;$E$19,"",Q20*(1+$N$20))</f>
        <v>103000</v>
      </c>
      <c r="S20" s="19">
        <f t="shared" si="5"/>
        <v>106090</v>
      </c>
      <c r="T20" s="19">
        <f t="shared" si="5"/>
        <v>109272.7</v>
      </c>
      <c r="U20" s="19">
        <f t="shared" si="5"/>
        <v>112550.88099999999</v>
      </c>
      <c r="V20" s="19">
        <f t="shared" si="5"/>
        <v>115927.40742999999</v>
      </c>
      <c r="W20" s="19">
        <f t="shared" si="5"/>
        <v>119405.2296529</v>
      </c>
      <c r="X20" s="19" t="str">
        <f t="shared" si="5"/>
        <v/>
      </c>
      <c r="Y20" s="19" t="str">
        <f t="shared" si="5"/>
        <v/>
      </c>
      <c r="Z20" s="19" t="str">
        <f t="shared" si="5"/>
        <v/>
      </c>
      <c r="AA20" s="78" t="str">
        <f t="shared" si="5"/>
        <v/>
      </c>
      <c r="AB20" s="127"/>
      <c r="AC20" s="122"/>
      <c r="AD20" s="6"/>
      <c r="AE20" s="438" t="s">
        <v>59</v>
      </c>
      <c r="AF20" s="45">
        <f>AF21+$AI$13</f>
        <v>1225000</v>
      </c>
      <c r="AG20" s="39">
        <f t="dataTable" ref="AG20:AQ30" dt2D="1" dtr="1" r1="E16" r2="E23" ca="1"/>
        <v>8.8510762784092201E-2</v>
      </c>
      <c r="AH20" s="39">
        <v>8.6236760756283504E-2</v>
      </c>
      <c r="AI20" s="39">
        <v>8.3987713512360784E-2</v>
      </c>
      <c r="AJ20" s="39">
        <v>8.1763073558855481E-2</v>
      </c>
      <c r="AK20" s="39">
        <v>7.9562310516607004E-2</v>
      </c>
      <c r="AL20" s="39">
        <v>7.7384910426264053E-2</v>
      </c>
      <c r="AM20" s="39">
        <v>7.5230375088259915E-2</v>
      </c>
      <c r="AN20" s="39">
        <v>7.3098221435241806E-2</v>
      </c>
      <c r="AO20" s="39">
        <v>7.0987980935073303E-2</v>
      </c>
      <c r="AP20" s="39">
        <v>6.8899199022659063E-2</v>
      </c>
      <c r="AQ20" s="40">
        <v>6.6831434558943137E-2</v>
      </c>
      <c r="AR20" s="127"/>
      <c r="BC20" s="121">
        <v>5</v>
      </c>
      <c r="BD20" s="121"/>
      <c r="BE20" s="121"/>
    </row>
    <row r="21" spans="2:57" x14ac:dyDescent="0.25">
      <c r="B21" s="6"/>
      <c r="C21" s="2" t="s">
        <v>84</v>
      </c>
      <c r="D21" s="20"/>
      <c r="E21" s="66">
        <v>108000</v>
      </c>
      <c r="F21" s="172"/>
      <c r="G21" s="193"/>
      <c r="H21" s="172"/>
      <c r="I21" s="3" t="s">
        <v>55</v>
      </c>
      <c r="J21" s="146">
        <f ca="1">P68</f>
        <v>2.4718470821292127</v>
      </c>
      <c r="K21" s="20"/>
      <c r="L21" s="186"/>
      <c r="M21" s="20"/>
      <c r="N21" s="155"/>
      <c r="O21" s="4" t="s">
        <v>86</v>
      </c>
      <c r="P21" s="21"/>
      <c r="Q21" s="48">
        <f>Q14*$E$28</f>
        <v>124800</v>
      </c>
      <c r="R21" s="48">
        <f t="shared" ref="R21:AA21" si="6">IF(Q12&gt;$E$19,"",R14*$E$28)</f>
        <v>128544</v>
      </c>
      <c r="S21" s="48">
        <f t="shared" si="6"/>
        <v>132400.32000000001</v>
      </c>
      <c r="T21" s="48">
        <f t="shared" si="6"/>
        <v>136372.32960000003</v>
      </c>
      <c r="U21" s="48">
        <f t="shared" si="6"/>
        <v>140463.49948800003</v>
      </c>
      <c r="V21" s="48">
        <f t="shared" si="6"/>
        <v>144677.40447264002</v>
      </c>
      <c r="W21" s="48">
        <f t="shared" si="6"/>
        <v>149017.72660681923</v>
      </c>
      <c r="X21" s="48" t="str">
        <f t="shared" si="6"/>
        <v/>
      </c>
      <c r="Y21" s="48" t="str">
        <f t="shared" si="6"/>
        <v/>
      </c>
      <c r="Z21" s="48" t="str">
        <f t="shared" si="6"/>
        <v/>
      </c>
      <c r="AA21" s="79" t="str">
        <f t="shared" si="6"/>
        <v/>
      </c>
      <c r="AB21" s="127"/>
      <c r="AC21" s="122"/>
      <c r="AD21" s="6"/>
      <c r="AE21" s="438"/>
      <c r="AF21" s="45">
        <f>AF22+$AI$13</f>
        <v>1220000</v>
      </c>
      <c r="AG21" s="39">
        <v>8.730959606832811E-2</v>
      </c>
      <c r="AH21" s="39">
        <v>8.5037623968636566E-2</v>
      </c>
      <c r="AI21" s="39">
        <v>8.2790559981856138E-2</v>
      </c>
      <c r="AJ21" s="39">
        <v>8.0567857743675697E-2</v>
      </c>
      <c r="AK21" s="39">
        <v>7.8368987963936432E-2</v>
      </c>
      <c r="AL21" s="39">
        <v>7.619343773392484E-2</v>
      </c>
      <c r="AM21" s="39">
        <v>7.4040709868038679E-2</v>
      </c>
      <c r="AN21" s="39">
        <v>7.1910322277819905E-2</v>
      </c>
      <c r="AO21" s="39">
        <v>6.9801807376476566E-2</v>
      </c>
      <c r="AP21" s="39">
        <v>6.7714711512146142E-2</v>
      </c>
      <c r="AQ21" s="40">
        <v>6.5648594428258544E-2</v>
      </c>
      <c r="AR21" s="127"/>
      <c r="BC21" s="121">
        <v>5.5</v>
      </c>
      <c r="BD21" s="121"/>
      <c r="BE21" s="121"/>
    </row>
    <row r="22" spans="2:57" x14ac:dyDescent="0.25">
      <c r="B22" s="6"/>
      <c r="C22" s="2" t="s">
        <v>85</v>
      </c>
      <c r="D22" s="20"/>
      <c r="E22" s="66">
        <v>60000</v>
      </c>
      <c r="F22" s="172"/>
      <c r="G22" s="193"/>
      <c r="H22" s="172"/>
      <c r="I22" s="3" t="s">
        <v>91</v>
      </c>
      <c r="J22" s="181">
        <f ca="1">P69</f>
        <v>5688688.9724292764</v>
      </c>
      <c r="K22" s="20"/>
      <c r="L22" s="186"/>
      <c r="M22" s="20"/>
      <c r="N22" s="154"/>
      <c r="O22" s="67" t="s">
        <v>9</v>
      </c>
      <c r="P22" s="19"/>
      <c r="Q22" s="65">
        <f>Q17-SUM(Q18:Q21)</f>
        <v>733400</v>
      </c>
      <c r="R22" s="65">
        <f t="shared" ref="R22:AA22" si="7">IF(Q12&gt;$E$19,"",R17-SUM(R18:R21))</f>
        <v>705402</v>
      </c>
      <c r="S22" s="65">
        <f t="shared" si="7"/>
        <v>728064.05999999982</v>
      </c>
      <c r="T22" s="65">
        <f t="shared" si="7"/>
        <v>801405.98179999995</v>
      </c>
      <c r="U22" s="65">
        <f t="shared" si="7"/>
        <v>825448.16125400004</v>
      </c>
      <c r="V22" s="65">
        <f t="shared" si="7"/>
        <v>850211.60609162017</v>
      </c>
      <c r="W22" s="65">
        <f t="shared" si="7"/>
        <v>875717.95427436871</v>
      </c>
      <c r="X22" s="65" t="str">
        <f t="shared" si="7"/>
        <v/>
      </c>
      <c r="Y22" s="65" t="str">
        <f t="shared" si="7"/>
        <v/>
      </c>
      <c r="Z22" s="65" t="str">
        <f t="shared" si="7"/>
        <v/>
      </c>
      <c r="AA22" s="80" t="str">
        <f t="shared" si="7"/>
        <v/>
      </c>
      <c r="AB22" s="127"/>
      <c r="AC22" s="122"/>
      <c r="AD22" s="6"/>
      <c r="AE22" s="438"/>
      <c r="AF22" s="45">
        <f>AF23+$AI$13</f>
        <v>1215000</v>
      </c>
      <c r="AG22" s="39">
        <v>8.6103521306142516E-2</v>
      </c>
      <c r="AH22" s="39">
        <v>8.3833574623271234E-2</v>
      </c>
      <c r="AI22" s="39">
        <v>8.1588489290709942E-2</v>
      </c>
      <c r="AJ22" s="39">
        <v>7.9367720074037695E-2</v>
      </c>
      <c r="AK22" s="39">
        <v>7.7170738772810443E-2</v>
      </c>
      <c r="AL22" s="39">
        <v>7.4997033529643042E-2</v>
      </c>
      <c r="AM22" s="39">
        <v>7.284610817356918E-2</v>
      </c>
      <c r="AN22" s="39">
        <v>7.0717481595678144E-2</v>
      </c>
      <c r="AO22" s="39">
        <v>6.8610687155155503E-2</v>
      </c>
      <c r="AP22" s="39">
        <v>6.652527211398529E-2</v>
      </c>
      <c r="AQ22" s="40">
        <v>6.4460797098676359E-2</v>
      </c>
      <c r="AR22" s="127"/>
      <c r="BC22" s="121">
        <v>6</v>
      </c>
      <c r="BD22" s="121"/>
      <c r="BE22" s="121"/>
    </row>
    <row r="23" spans="2:57" x14ac:dyDescent="0.25">
      <c r="B23" s="6"/>
      <c r="C23" s="2" t="s">
        <v>80</v>
      </c>
      <c r="D23" s="20"/>
      <c r="E23" s="150">
        <f>SUM(E20:E22)</f>
        <v>1248000</v>
      </c>
      <c r="F23" s="173"/>
      <c r="G23" s="194"/>
      <c r="H23" s="173"/>
      <c r="I23" s="3" t="s">
        <v>56</v>
      </c>
      <c r="J23" s="182">
        <f ca="1">P70</f>
        <v>5.0859310221045622</v>
      </c>
      <c r="K23" s="20"/>
      <c r="L23" s="186"/>
      <c r="M23" s="20"/>
      <c r="N23" s="5"/>
      <c r="O23" s="161" t="s">
        <v>89</v>
      </c>
      <c r="P23" s="19"/>
      <c r="Q23" s="158"/>
      <c r="R23" s="158"/>
      <c r="S23" s="158"/>
      <c r="T23" s="158">
        <v>30000</v>
      </c>
      <c r="U23" s="158"/>
      <c r="V23" s="158"/>
      <c r="W23" s="158"/>
      <c r="X23" s="158"/>
      <c r="Y23" s="158"/>
      <c r="Z23" s="158"/>
      <c r="AA23" s="160"/>
      <c r="AB23" s="127"/>
      <c r="AC23" s="122"/>
      <c r="AD23" s="6"/>
      <c r="AE23" s="438"/>
      <c r="AF23" s="45">
        <f>AF24+$AI$13</f>
        <v>1210000</v>
      </c>
      <c r="AG23" s="39">
        <v>8.4892487074560652E-2</v>
      </c>
      <c r="AH23" s="39">
        <v>8.2624561181595224E-2</v>
      </c>
      <c r="AI23" s="39">
        <v>8.038144978326156E-2</v>
      </c>
      <c r="AJ23" s="39">
        <v>7.8162608775768527E-2</v>
      </c>
      <c r="AK23" s="39">
        <v>7.5967511049105818E-2</v>
      </c>
      <c r="AL23" s="39">
        <v>7.3795645797914311E-2</v>
      </c>
      <c r="AM23" s="39">
        <v>7.1646517866542192E-2</v>
      </c>
      <c r="AN23" s="39">
        <v>6.9519647126283779E-2</v>
      </c>
      <c r="AO23" s="39">
        <v>6.7414567882940313E-2</v>
      </c>
      <c r="AP23" s="39">
        <v>6.5330828312959888E-2</v>
      </c>
      <c r="AQ23" s="40">
        <v>6.3267989926536261E-2</v>
      </c>
      <c r="AR23" s="127"/>
      <c r="BC23" s="121">
        <v>6.5</v>
      </c>
      <c r="BD23" s="121"/>
      <c r="BE23" s="121"/>
    </row>
    <row r="24" spans="2:57" ht="15.75" thickBot="1" x14ac:dyDescent="0.3">
      <c r="B24" s="6"/>
      <c r="C24" s="4" t="s">
        <v>64</v>
      </c>
      <c r="D24" s="21"/>
      <c r="E24" s="106">
        <v>0.1</v>
      </c>
      <c r="F24" s="111"/>
      <c r="G24" s="192"/>
      <c r="H24" s="111"/>
      <c r="I24" s="3" t="s">
        <v>69</v>
      </c>
      <c r="J24" s="147">
        <f>AVERAGE(Q71:Z71)</f>
        <v>9.7904315690821517E-2</v>
      </c>
      <c r="K24" s="20"/>
      <c r="L24" s="186"/>
      <c r="M24" s="20"/>
      <c r="N24" s="154"/>
      <c r="O24" s="161" t="s">
        <v>90</v>
      </c>
      <c r="P24" s="19"/>
      <c r="Q24" s="158"/>
      <c r="R24" s="158"/>
      <c r="S24" s="158"/>
      <c r="T24" s="158">
        <v>15000</v>
      </c>
      <c r="U24" s="158"/>
      <c r="V24" s="158"/>
      <c r="W24" s="158"/>
      <c r="X24" s="158"/>
      <c r="Y24" s="158"/>
      <c r="Z24" s="158"/>
      <c r="AA24" s="160"/>
      <c r="AB24" s="127"/>
      <c r="AC24" s="122"/>
      <c r="AD24" s="6"/>
      <c r="AE24" s="438"/>
      <c r="AF24" s="45">
        <f>AF25+$AI$13</f>
        <v>1205000</v>
      </c>
      <c r="AG24" s="39">
        <v>8.3676441115138056E-2</v>
      </c>
      <c r="AH24" s="39">
        <v>8.1410531266456365E-2</v>
      </c>
      <c r="AI24" s="39">
        <v>7.916938896216652E-2</v>
      </c>
      <c r="AJ24" s="39">
        <v>7.6952471229854824E-2</v>
      </c>
      <c r="AK24" s="39">
        <v>7.4759252050669911E-2</v>
      </c>
      <c r="AL24" s="39">
        <v>7.2589221671984339E-2</v>
      </c>
      <c r="AM24" s="39">
        <v>7.0441885954144245E-2</v>
      </c>
      <c r="AN24" s="39">
        <v>6.8316765749312447E-2</v>
      </c>
      <c r="AO24" s="39">
        <v>6.621339631055001E-2</v>
      </c>
      <c r="AP24" s="39">
        <v>6.4131326729393034E-2</v>
      </c>
      <c r="AQ24" s="40">
        <v>6.2070119400323254E-2</v>
      </c>
      <c r="AR24" s="127"/>
      <c r="BC24" s="121">
        <v>7</v>
      </c>
      <c r="BD24" s="121"/>
      <c r="BE24" s="121"/>
    </row>
    <row r="25" spans="2:57" ht="15.75" thickBot="1" x14ac:dyDescent="0.3">
      <c r="B25" s="6"/>
      <c r="C25" s="2" t="s">
        <v>35</v>
      </c>
      <c r="D25" s="20"/>
      <c r="E25" s="66">
        <v>100000</v>
      </c>
      <c r="F25" s="172"/>
      <c r="G25" s="193"/>
      <c r="H25" s="172"/>
      <c r="I25" s="3" t="s">
        <v>72</v>
      </c>
      <c r="J25" s="148">
        <f>MIN(Q73:Z73)</f>
        <v>1.7923277790392398</v>
      </c>
      <c r="K25" s="20"/>
      <c r="L25" s="186"/>
      <c r="M25" s="20"/>
      <c r="N25" s="156">
        <v>0.03</v>
      </c>
      <c r="O25" s="2" t="s">
        <v>15</v>
      </c>
      <c r="P25" s="20"/>
      <c r="Q25" s="19">
        <f>E29</f>
        <v>5000</v>
      </c>
      <c r="R25" s="19">
        <f t="shared" ref="R25:AA25" si="8">IF(R12&gt;$E$19,"",Q25*(1+$N$25))</f>
        <v>5150</v>
      </c>
      <c r="S25" s="19">
        <f t="shared" si="8"/>
        <v>5304.5</v>
      </c>
      <c r="T25" s="19">
        <f t="shared" si="8"/>
        <v>5463.6350000000002</v>
      </c>
      <c r="U25" s="19">
        <f t="shared" si="8"/>
        <v>5627.5440500000004</v>
      </c>
      <c r="V25" s="19">
        <f t="shared" si="8"/>
        <v>5796.3703715000001</v>
      </c>
      <c r="W25" s="19" t="str">
        <f t="shared" si="8"/>
        <v/>
      </c>
      <c r="X25" s="19" t="str">
        <f t="shared" si="8"/>
        <v/>
      </c>
      <c r="Y25" s="19" t="str">
        <f t="shared" si="8"/>
        <v/>
      </c>
      <c r="Z25" s="19" t="str">
        <f t="shared" si="8"/>
        <v/>
      </c>
      <c r="AA25" s="78" t="str">
        <f t="shared" si="8"/>
        <v/>
      </c>
      <c r="AB25" s="127"/>
      <c r="AC25" s="122"/>
      <c r="AD25" s="6"/>
      <c r="AE25" s="438"/>
      <c r="AF25" s="43">
        <v>1200000</v>
      </c>
      <c r="AG25" s="39">
        <v>8.2455330315464037E-2</v>
      </c>
      <c r="AH25" s="39">
        <v>8.0191431643549471E-2</v>
      </c>
      <c r="AI25" s="39">
        <v>7.7952253469707466E-2</v>
      </c>
      <c r="AJ25" s="39">
        <v>7.5737253953656047E-2</v>
      </c>
      <c r="AK25" s="39">
        <v>7.3545908168436203E-2</v>
      </c>
      <c r="AL25" s="39">
        <v>7.1377707414863156E-2</v>
      </c>
      <c r="AM25" s="39">
        <v>6.9232158569971336E-2</v>
      </c>
      <c r="AN25" s="39">
        <v>6.7108783467461963E-2</v>
      </c>
      <c r="AO25" s="39">
        <v>6.5007118308301637E-2</v>
      </c>
      <c r="AP25" s="39">
        <v>6.2926713099749731E-2</v>
      </c>
      <c r="AQ25" s="40">
        <v>6.0867131121178586E-2</v>
      </c>
      <c r="AR25" s="127"/>
      <c r="BC25" s="121">
        <v>7.5</v>
      </c>
      <c r="BD25" s="121"/>
      <c r="BE25" s="121"/>
    </row>
    <row r="26" spans="2:57" x14ac:dyDescent="0.25">
      <c r="B26" s="6"/>
      <c r="C26" s="2" t="s">
        <v>5</v>
      </c>
      <c r="D26" s="20"/>
      <c r="E26" s="66">
        <v>65000</v>
      </c>
      <c r="F26" s="172"/>
      <c r="G26" s="193"/>
      <c r="H26" s="172"/>
      <c r="I26" s="132" t="s">
        <v>73</v>
      </c>
      <c r="J26" s="136">
        <f ca="1">MIN(Q75:Z75)</f>
        <v>0.11256890880797504</v>
      </c>
      <c r="K26" s="20"/>
      <c r="L26" s="186"/>
      <c r="M26" s="20"/>
      <c r="N26" s="154"/>
      <c r="O26" s="4" t="s">
        <v>46</v>
      </c>
      <c r="P26" s="48" t="str">
        <f>IF(P12=$E$31,-$E$30,"")</f>
        <v/>
      </c>
      <c r="Q26" s="68" t="str">
        <f>IF(Q12=$E$31,$E$30,"")</f>
        <v/>
      </c>
      <c r="R26" s="68" t="str">
        <f t="shared" ref="R26:Z26" si="9">IF(R12&gt;$E$19,"",IF(R12=$E$31,$E$30,""))</f>
        <v/>
      </c>
      <c r="S26" s="68">
        <f t="shared" si="9"/>
        <v>100000</v>
      </c>
      <c r="T26" s="68" t="str">
        <f t="shared" si="9"/>
        <v/>
      </c>
      <c r="U26" s="68" t="str">
        <f t="shared" si="9"/>
        <v/>
      </c>
      <c r="V26" s="68" t="str">
        <f t="shared" si="9"/>
        <v/>
      </c>
      <c r="W26" s="68" t="str">
        <f t="shared" si="9"/>
        <v/>
      </c>
      <c r="X26" s="68" t="str">
        <f t="shared" si="9"/>
        <v/>
      </c>
      <c r="Y26" s="68" t="str">
        <f t="shared" si="9"/>
        <v/>
      </c>
      <c r="Z26" s="68" t="str">
        <f t="shared" si="9"/>
        <v/>
      </c>
      <c r="AA26" s="81" t="str">
        <f>IF(AA12=$E$31,$E$30,"")</f>
        <v/>
      </c>
      <c r="AB26" s="127"/>
      <c r="AC26" s="122"/>
      <c r="AD26" s="6"/>
      <c r="AE26" s="438"/>
      <c r="AF26" s="45">
        <f>AF25-$AI$13</f>
        <v>1195000</v>
      </c>
      <c r="AG26" s="39">
        <v>8.1229100690142886E-2</v>
      </c>
      <c r="AH26" s="39">
        <v>7.8967208202299188E-2</v>
      </c>
      <c r="AI26" s="39">
        <v>7.6729989068576199E-2</v>
      </c>
      <c r="AJ26" s="39">
        <v>7.4516902581587274E-2</v>
      </c>
      <c r="AK26" s="39">
        <v>7.2327424907004279E-2</v>
      </c>
      <c r="AL26" s="39">
        <v>7.016104839980386E-2</v>
      </c>
      <c r="AM26" s="39">
        <v>6.8017280954404402E-2</v>
      </c>
      <c r="AN26" s="39">
        <v>6.5895645386719881E-2</v>
      </c>
      <c r="AO26" s="39">
        <v>6.3795678846278348E-2</v>
      </c>
      <c r="AP26" s="39">
        <v>6.1716932256692836E-2</v>
      </c>
      <c r="AQ26" s="40">
        <v>5.9658969782842464E-2</v>
      </c>
      <c r="AR26" s="127"/>
      <c r="BC26" s="121">
        <v>8</v>
      </c>
      <c r="BD26" s="121"/>
      <c r="BE26" s="121"/>
    </row>
    <row r="27" spans="2:57" x14ac:dyDescent="0.25">
      <c r="B27" s="6"/>
      <c r="C27" s="2" t="s">
        <v>6</v>
      </c>
      <c r="D27" s="20"/>
      <c r="E27" s="12">
        <v>1</v>
      </c>
      <c r="F27" s="174"/>
      <c r="G27" s="195"/>
      <c r="H27" s="174"/>
      <c r="I27" s="174"/>
      <c r="J27" s="174"/>
      <c r="K27" s="20"/>
      <c r="L27" s="186"/>
      <c r="M27" s="20"/>
      <c r="N27" s="154"/>
      <c r="O27" s="67" t="s">
        <v>16</v>
      </c>
      <c r="P27" s="20"/>
      <c r="Q27" s="19">
        <f>Q22-SUM(Q23:Q26)</f>
        <v>728400</v>
      </c>
      <c r="R27" s="19">
        <f>IF(R12&gt;$E$19,"",R22-SUM(R23:R26))</f>
        <v>700252</v>
      </c>
      <c r="S27" s="19">
        <f t="shared" ref="S27:AA27" si="10">IF(S12&gt;$E$19,"",S22-SUM(S23:S26))</f>
        <v>622759.55999999982</v>
      </c>
      <c r="T27" s="19">
        <f t="shared" si="10"/>
        <v>750942.34679999994</v>
      </c>
      <c r="U27" s="19">
        <f t="shared" si="10"/>
        <v>819820.61720400001</v>
      </c>
      <c r="V27" s="19">
        <f t="shared" si="10"/>
        <v>844415.23572012014</v>
      </c>
      <c r="W27" s="19" t="str">
        <f t="shared" si="10"/>
        <v/>
      </c>
      <c r="X27" s="19" t="str">
        <f t="shared" si="10"/>
        <v/>
      </c>
      <c r="Y27" s="19" t="str">
        <f t="shared" si="10"/>
        <v/>
      </c>
      <c r="Z27" s="19" t="str">
        <f t="shared" si="10"/>
        <v/>
      </c>
      <c r="AA27" s="183" t="str">
        <f t="shared" si="10"/>
        <v/>
      </c>
      <c r="AB27" s="127"/>
      <c r="AC27" s="122"/>
      <c r="AD27" s="6"/>
      <c r="AE27" s="438"/>
      <c r="AF27" s="45">
        <f>AF26-$AI$13</f>
        <v>1190000</v>
      </c>
      <c r="AG27" s="39">
        <v>7.9997697361238629E-2</v>
      </c>
      <c r="AH27" s="39">
        <v>7.7737805936201942E-2</v>
      </c>
      <c r="AI27" s="39">
        <v>7.5502540622114145E-2</v>
      </c>
      <c r="AJ27" s="39">
        <v>7.3291361845252645E-2</v>
      </c>
      <c r="AK27" s="39">
        <v>7.1103746864668471E-2</v>
      </c>
      <c r="AL27" s="39">
        <v>6.8939189090222674E-2</v>
      </c>
      <c r="AM27" s="39">
        <v>6.6797197434420141E-2</v>
      </c>
      <c r="AN27" s="39">
        <v>6.4677295696066839E-2</v>
      </c>
      <c r="AO27" s="39">
        <v>6.2579021973916182E-2</v>
      </c>
      <c r="AP27" s="39">
        <v>6.0501928108567249E-2</v>
      </c>
      <c r="AQ27" s="40">
        <v>5.8445579151027216E-2</v>
      </c>
      <c r="AR27" s="127"/>
      <c r="BC27" s="121">
        <v>8.5</v>
      </c>
      <c r="BD27" s="121"/>
      <c r="BE27" s="121"/>
    </row>
    <row r="28" spans="2:57" x14ac:dyDescent="0.25">
      <c r="B28" s="6"/>
      <c r="C28" s="71" t="s">
        <v>7</v>
      </c>
      <c r="D28" s="421"/>
      <c r="E28" s="105">
        <v>0.1</v>
      </c>
      <c r="F28" s="112"/>
      <c r="G28" s="191"/>
      <c r="H28" s="112"/>
      <c r="I28" s="112"/>
      <c r="J28" s="112"/>
      <c r="K28" s="20"/>
      <c r="L28" s="186"/>
      <c r="M28" s="20"/>
      <c r="N28" s="154"/>
      <c r="O28" s="67"/>
      <c r="P28" s="20"/>
      <c r="Q28" s="19"/>
      <c r="R28" s="19"/>
      <c r="S28" s="19"/>
      <c r="T28" s="19"/>
      <c r="U28" s="19"/>
      <c r="V28" s="19"/>
      <c r="W28" s="19"/>
      <c r="X28" s="19"/>
      <c r="Y28" s="19"/>
      <c r="Z28" s="19"/>
      <c r="AA28" s="78"/>
      <c r="AB28" s="127"/>
      <c r="AC28" s="122"/>
      <c r="AD28" s="6"/>
      <c r="AE28" s="438"/>
      <c r="AF28" s="45">
        <f>AF27-$AI$13</f>
        <v>1185000</v>
      </c>
      <c r="AG28" s="39">
        <v>7.8761064538163339E-2</v>
      </c>
      <c r="AH28" s="39">
        <v>7.6503168922607889E-2</v>
      </c>
      <c r="AI28" s="39">
        <v>7.4269852073984843E-2</v>
      </c>
      <c r="AJ28" s="39">
        <v>7.2060575553012374E-2</v>
      </c>
      <c r="AK28" s="39">
        <v>6.9874817712874071E-2</v>
      </c>
      <c r="AL28" s="39">
        <v>6.7712073019046359E-2</v>
      </c>
      <c r="AM28" s="39">
        <v>6.5571851402828507E-2</v>
      </c>
      <c r="AN28" s="39">
        <v>6.3453677646604811E-2</v>
      </c>
      <c r="AO28" s="39">
        <v>6.1357090799015968E-2</v>
      </c>
      <c r="AP28" s="39">
        <v>5.9281643618292801E-2</v>
      </c>
      <c r="AQ28" s="40">
        <v>5.7226902042191385E-2</v>
      </c>
      <c r="AR28" s="127"/>
      <c r="BC28" s="121">
        <v>9</v>
      </c>
      <c r="BD28" s="121"/>
      <c r="BE28" s="121"/>
    </row>
    <row r="29" spans="2:57" x14ac:dyDescent="0.25">
      <c r="B29" s="6"/>
      <c r="C29" s="2" t="s">
        <v>49</v>
      </c>
      <c r="D29" s="20"/>
      <c r="E29" s="66">
        <v>5000</v>
      </c>
      <c r="F29" s="172"/>
      <c r="G29" s="193"/>
      <c r="H29" s="172"/>
      <c r="I29" s="172"/>
      <c r="J29" s="172"/>
      <c r="K29" s="20"/>
      <c r="L29" s="186"/>
      <c r="M29" s="20"/>
      <c r="N29" s="154"/>
      <c r="O29" s="2" t="s">
        <v>10</v>
      </c>
      <c r="P29" s="20"/>
      <c r="Q29" s="19" t="str">
        <f t="shared" ref="Q29:Z29" si="11">IF($E$19=Q12,R22/$E$34,"")</f>
        <v/>
      </c>
      <c r="R29" s="19" t="str">
        <f t="shared" si="11"/>
        <v/>
      </c>
      <c r="S29" s="19" t="str">
        <f t="shared" si="11"/>
        <v/>
      </c>
      <c r="T29" s="19" t="str">
        <f t="shared" si="11"/>
        <v/>
      </c>
      <c r="U29" s="19" t="str">
        <f t="shared" si="11"/>
        <v/>
      </c>
      <c r="V29" s="19">
        <f t="shared" si="11"/>
        <v>13472583.911913365</v>
      </c>
      <c r="W29" s="19" t="str">
        <f t="shared" si="11"/>
        <v/>
      </c>
      <c r="X29" s="19" t="str">
        <f t="shared" si="11"/>
        <v/>
      </c>
      <c r="Y29" s="19" t="str">
        <f t="shared" si="11"/>
        <v/>
      </c>
      <c r="Z29" s="19" t="str">
        <f t="shared" si="11"/>
        <v/>
      </c>
      <c r="AA29" s="78"/>
      <c r="AB29" s="127"/>
      <c r="AC29" s="122"/>
      <c r="AD29" s="6"/>
      <c r="AE29" s="438"/>
      <c r="AF29" s="45">
        <f>AF28-$AI$13</f>
        <v>1180000</v>
      </c>
      <c r="AG29" s="39">
        <v>7.7519145496990349E-2</v>
      </c>
      <c r="AH29" s="39">
        <v>7.5263240301925549E-2</v>
      </c>
      <c r="AI29" s="39">
        <v>7.3031866427268666E-2</v>
      </c>
      <c r="AJ29" s="39">
        <v>7.0824486568963119E-2</v>
      </c>
      <c r="AK29" s="39">
        <v>6.8640580175084898E-2</v>
      </c>
      <c r="AL29" s="39">
        <v>6.6479642767462988E-2</v>
      </c>
      <c r="AM29" s="39">
        <v>6.4341185296903136E-2</v>
      </c>
      <c r="AN29" s="39">
        <v>6.2224733530066079E-2</v>
      </c>
      <c r="AO29" s="39">
        <v>6.0129827466141705E-2</v>
      </c>
      <c r="AP29" s="39">
        <v>5.8056020781643181E-2</v>
      </c>
      <c r="AQ29" s="40">
        <v>5.6002880301700753E-2</v>
      </c>
      <c r="AR29" s="127"/>
      <c r="BC29" s="121">
        <v>9.5</v>
      </c>
      <c r="BD29" s="121"/>
      <c r="BE29" s="121"/>
    </row>
    <row r="30" spans="2:57" x14ac:dyDescent="0.25">
      <c r="B30" s="6"/>
      <c r="C30" s="2" t="s">
        <v>47</v>
      </c>
      <c r="D30" s="20"/>
      <c r="E30" s="66">
        <v>100000</v>
      </c>
      <c r="F30" s="172"/>
      <c r="G30" s="193"/>
      <c r="H30" s="172"/>
      <c r="I30" s="172"/>
      <c r="J30" s="172"/>
      <c r="K30" s="20"/>
      <c r="L30" s="186"/>
      <c r="M30" s="20"/>
      <c r="N30" s="154"/>
      <c r="O30" s="74" t="s">
        <v>11</v>
      </c>
      <c r="P30" s="75"/>
      <c r="Q30" s="76" t="str">
        <f t="shared" ref="Q30:Z30" si="12">IF($E$19=Q12,Q29*$E$35,"")</f>
        <v/>
      </c>
      <c r="R30" s="76" t="str">
        <f t="shared" si="12"/>
        <v/>
      </c>
      <c r="S30" s="76" t="str">
        <f t="shared" si="12"/>
        <v/>
      </c>
      <c r="T30" s="76" t="str">
        <f t="shared" si="12"/>
        <v/>
      </c>
      <c r="U30" s="76" t="str">
        <f t="shared" si="12"/>
        <v/>
      </c>
      <c r="V30" s="76">
        <f t="shared" si="12"/>
        <v>404177.51735740097</v>
      </c>
      <c r="W30" s="76" t="str">
        <f t="shared" si="12"/>
        <v/>
      </c>
      <c r="X30" s="76" t="str">
        <f t="shared" si="12"/>
        <v/>
      </c>
      <c r="Y30" s="76" t="str">
        <f t="shared" si="12"/>
        <v/>
      </c>
      <c r="Z30" s="76" t="str">
        <f t="shared" si="12"/>
        <v/>
      </c>
      <c r="AA30" s="116"/>
      <c r="AB30" s="127"/>
      <c r="AC30" s="122"/>
      <c r="AD30" s="6"/>
      <c r="AE30" s="439"/>
      <c r="AF30" s="46">
        <f>AF29-$AI$13</f>
        <v>1175000</v>
      </c>
      <c r="AG30" s="41">
        <v>7.6271882559174164E-2</v>
      </c>
      <c r="AH30" s="41">
        <v>7.4017962256225145E-2</v>
      </c>
      <c r="AI30" s="41">
        <v>7.1788525722949803E-2</v>
      </c>
      <c r="AJ30" s="41">
        <v>6.9583036791308173E-2</v>
      </c>
      <c r="AK30" s="41">
        <v>6.7400976005036251E-2</v>
      </c>
      <c r="AL30" s="41">
        <v>6.5241839943056545E-2</v>
      </c>
      <c r="AM30" s="41">
        <v>6.3105140576407814E-2</v>
      </c>
      <c r="AN30" s="41">
        <v>6.0990404656713348E-2</v>
      </c>
      <c r="AO30" s="41">
        <v>5.889717313439391E-2</v>
      </c>
      <c r="AP30" s="41">
        <v>5.682500060489426E-2</v>
      </c>
      <c r="AQ30" s="42">
        <v>5.4773454781349651E-2</v>
      </c>
      <c r="AR30" s="127"/>
      <c r="BC30" s="121">
        <v>10</v>
      </c>
      <c r="BD30" s="121"/>
      <c r="BE30" s="121"/>
    </row>
    <row r="31" spans="2:57" x14ac:dyDescent="0.25">
      <c r="B31" s="6"/>
      <c r="C31" s="55" t="s">
        <v>44</v>
      </c>
      <c r="D31" s="422"/>
      <c r="E31" s="54">
        <v>3</v>
      </c>
      <c r="F31" s="175"/>
      <c r="G31" s="196"/>
      <c r="H31" s="175"/>
      <c r="I31" s="175"/>
      <c r="J31" s="175"/>
      <c r="K31" s="20"/>
      <c r="L31" s="186"/>
      <c r="M31" s="20"/>
      <c r="N31" s="154"/>
      <c r="O31" s="2" t="s">
        <v>13</v>
      </c>
      <c r="P31" s="20"/>
      <c r="Q31" s="19" t="str">
        <f t="shared" ref="Q31:Z31" si="13">IF($E$19=Q12,Q29-Q30,"")</f>
        <v/>
      </c>
      <c r="R31" s="19" t="str">
        <f t="shared" si="13"/>
        <v/>
      </c>
      <c r="S31" s="19" t="str">
        <f t="shared" si="13"/>
        <v/>
      </c>
      <c r="T31" s="19" t="str">
        <f t="shared" si="13"/>
        <v/>
      </c>
      <c r="U31" s="19" t="str">
        <f t="shared" si="13"/>
        <v/>
      </c>
      <c r="V31" s="19">
        <f t="shared" si="13"/>
        <v>13068406.394555964</v>
      </c>
      <c r="W31" s="19" t="str">
        <f t="shared" si="13"/>
        <v/>
      </c>
      <c r="X31" s="19" t="str">
        <f t="shared" si="13"/>
        <v/>
      </c>
      <c r="Y31" s="19" t="str">
        <f t="shared" si="13"/>
        <v/>
      </c>
      <c r="Z31" s="19" t="str">
        <f t="shared" si="13"/>
        <v/>
      </c>
      <c r="AA31" s="78"/>
      <c r="AB31" s="127"/>
      <c r="AC31" s="122"/>
      <c r="AD31" s="6"/>
      <c r="AE31" s="38"/>
      <c r="AF31" s="31"/>
      <c r="AG31" s="431" t="s">
        <v>191</v>
      </c>
      <c r="AH31" s="431"/>
      <c r="AI31" s="431"/>
      <c r="AJ31" s="431"/>
      <c r="AK31" s="431"/>
      <c r="AL31" s="431"/>
      <c r="AM31" s="431"/>
      <c r="AN31" s="431"/>
      <c r="AO31" s="431"/>
      <c r="AP31" s="431"/>
      <c r="AQ31" s="432"/>
      <c r="AR31" s="127"/>
      <c r="BC31" s="121">
        <v>10.5</v>
      </c>
      <c r="BD31" s="121"/>
      <c r="BE31" s="121"/>
    </row>
    <row r="32" spans="2:57" ht="15.75" thickBot="1" x14ac:dyDescent="0.3">
      <c r="B32" s="6"/>
      <c r="C32" s="55" t="s">
        <v>65</v>
      </c>
      <c r="D32" s="422"/>
      <c r="E32" s="11" t="s">
        <v>34</v>
      </c>
      <c r="F32" s="176"/>
      <c r="G32" s="197"/>
      <c r="H32" s="176"/>
      <c r="I32" s="176"/>
      <c r="J32" s="176"/>
      <c r="K32" s="20"/>
      <c r="L32" s="186"/>
      <c r="M32" s="20"/>
      <c r="N32" s="154"/>
      <c r="O32" s="2"/>
      <c r="P32" s="20"/>
      <c r="Q32" s="19"/>
      <c r="R32" s="19"/>
      <c r="S32" s="19"/>
      <c r="T32" s="19"/>
      <c r="U32" s="19"/>
      <c r="V32" s="19"/>
      <c r="W32" s="19"/>
      <c r="X32" s="19"/>
      <c r="Y32" s="19"/>
      <c r="Z32" s="19"/>
      <c r="AA32" s="78"/>
      <c r="AB32" s="127"/>
      <c r="AC32" s="122"/>
      <c r="AD32" s="6"/>
      <c r="AE32" s="35"/>
      <c r="AF32" s="36"/>
      <c r="AG32" s="440" t="s">
        <v>0</v>
      </c>
      <c r="AH32" s="440"/>
      <c r="AI32" s="440"/>
      <c r="AJ32" s="440"/>
      <c r="AK32" s="440"/>
      <c r="AL32" s="440"/>
      <c r="AM32" s="440"/>
      <c r="AN32" s="440"/>
      <c r="AO32" s="440"/>
      <c r="AP32" s="440"/>
      <c r="AQ32" s="441"/>
      <c r="AR32" s="127"/>
      <c r="BC32" s="121">
        <v>11</v>
      </c>
      <c r="BD32" s="121"/>
      <c r="BE32" s="121"/>
    </row>
    <row r="33" spans="2:57" ht="15.75" thickBot="1" x14ac:dyDescent="0.3">
      <c r="B33" s="6"/>
      <c r="C33" s="55" t="s">
        <v>58</v>
      </c>
      <c r="D33" s="422"/>
      <c r="E33" s="9">
        <v>0.5</v>
      </c>
      <c r="F33" s="112"/>
      <c r="G33" s="191"/>
      <c r="H33" s="112"/>
      <c r="I33" s="112"/>
      <c r="J33" s="112"/>
      <c r="K33" s="20"/>
      <c r="L33" s="186"/>
      <c r="M33" s="20"/>
      <c r="N33" s="154"/>
      <c r="O33" s="67" t="s">
        <v>14</v>
      </c>
      <c r="P33" s="65">
        <f>IFERROR(P13+P26,P13)</f>
        <v>-10300000</v>
      </c>
      <c r="Q33" s="65">
        <f t="shared" ref="Q33:Z33" si="14">IF($E$19&gt;=Q12,SUM(Q27,Q31),"")</f>
        <v>728400</v>
      </c>
      <c r="R33" s="65">
        <f t="shared" si="14"/>
        <v>700252</v>
      </c>
      <c r="S33" s="65">
        <f t="shared" si="14"/>
        <v>622759.55999999982</v>
      </c>
      <c r="T33" s="65">
        <f t="shared" si="14"/>
        <v>750942.34679999994</v>
      </c>
      <c r="U33" s="65">
        <f t="shared" si="14"/>
        <v>819820.61720400001</v>
      </c>
      <c r="V33" s="65">
        <f t="shared" si="14"/>
        <v>13912821.630276084</v>
      </c>
      <c r="W33" s="65" t="str">
        <f t="shared" si="14"/>
        <v/>
      </c>
      <c r="X33" s="65" t="str">
        <f t="shared" si="14"/>
        <v/>
      </c>
      <c r="Y33" s="65" t="str">
        <f t="shared" si="14"/>
        <v/>
      </c>
      <c r="Z33" s="65" t="str">
        <f t="shared" si="14"/>
        <v/>
      </c>
      <c r="AA33" s="80"/>
      <c r="AB33" s="127"/>
      <c r="AC33" s="122"/>
      <c r="AD33" s="6"/>
      <c r="AE33" s="35"/>
      <c r="AF33" s="47">
        <f ca="1">P67</f>
        <v>0.18668933663393528</v>
      </c>
      <c r="AG33" s="44">
        <f>AH33-$AI$14</f>
        <v>10500000</v>
      </c>
      <c r="AH33" s="44">
        <f>AI33-$AI$14</f>
        <v>10600000</v>
      </c>
      <c r="AI33" s="44">
        <f>AJ33-$AI$14</f>
        <v>10700000</v>
      </c>
      <c r="AJ33" s="44">
        <f>AK33-$AI$14</f>
        <v>10800000</v>
      </c>
      <c r="AK33" s="44">
        <f>AL33-$AI$14</f>
        <v>10900000</v>
      </c>
      <c r="AL33" s="43">
        <v>11000000</v>
      </c>
      <c r="AM33" s="44">
        <f>AL33+$AI$14</f>
        <v>11100000</v>
      </c>
      <c r="AN33" s="44">
        <f>AM33+$AI$14</f>
        <v>11200000</v>
      </c>
      <c r="AO33" s="44">
        <f>AN33+$AI$14</f>
        <v>11300000</v>
      </c>
      <c r="AP33" s="44">
        <f>AO33+$AI$14</f>
        <v>11400000</v>
      </c>
      <c r="AQ33" s="46">
        <f>AP33+$AI$14</f>
        <v>11500000</v>
      </c>
      <c r="AR33" s="127"/>
      <c r="BC33" s="121">
        <v>11.5</v>
      </c>
      <c r="BD33" s="121"/>
      <c r="BE33" s="121"/>
    </row>
    <row r="34" spans="2:57" x14ac:dyDescent="0.25">
      <c r="B34" s="6"/>
      <c r="C34" s="113" t="s">
        <v>12</v>
      </c>
      <c r="D34" s="423"/>
      <c r="E34" s="51">
        <v>6.5000000000000002E-2</v>
      </c>
      <c r="F34" s="111"/>
      <c r="G34" s="192"/>
      <c r="H34" s="111"/>
      <c r="I34" s="111"/>
      <c r="J34" s="111"/>
      <c r="K34" s="20"/>
      <c r="L34" s="186"/>
      <c r="M34" s="20"/>
      <c r="N34" s="154"/>
      <c r="O34" s="2" t="s">
        <v>54</v>
      </c>
      <c r="P34" s="23">
        <f>IRR(P33:Z33)</f>
        <v>0.10578947747199319</v>
      </c>
      <c r="Q34" s="19"/>
      <c r="R34" s="19"/>
      <c r="S34" s="19"/>
      <c r="T34" s="19"/>
      <c r="U34" s="19"/>
      <c r="V34" s="19"/>
      <c r="W34" s="19"/>
      <c r="X34" s="19"/>
      <c r="Y34" s="19"/>
      <c r="Z34" s="19"/>
      <c r="AA34" s="78"/>
      <c r="AB34" s="127"/>
      <c r="AC34" s="122"/>
      <c r="AD34" s="6"/>
      <c r="AE34" s="438" t="s">
        <v>59</v>
      </c>
      <c r="AF34" s="45">
        <f>AF35+$AI$13</f>
        <v>1225000</v>
      </c>
      <c r="AG34" s="39">
        <f t="dataTable" ref="AG34:AQ44" dt2D="1" dtr="1" r1="E16" r2="E23" ca="1"/>
        <v>0.15070594201335852</v>
      </c>
      <c r="AH34" s="39">
        <v>0.14584321201074002</v>
      </c>
      <c r="AI34" s="39">
        <v>0.14100057364394791</v>
      </c>
      <c r="AJ34" s="39">
        <v>0.13617671675803633</v>
      </c>
      <c r="AK34" s="39">
        <v>0.1313703468365659</v>
      </c>
      <c r="AL34" s="39">
        <v>0.12658018306478813</v>
      </c>
      <c r="AM34" s="39">
        <v>0.1218049564202659</v>
      </c>
      <c r="AN34" s="39">
        <v>0.11704340778395061</v>
      </c>
      <c r="AO34" s="39">
        <v>0.11229428606484215</v>
      </c>
      <c r="AP34" s="39">
        <v>0.10755634633131383</v>
      </c>
      <c r="AQ34" s="40">
        <v>0.10282834794218143</v>
      </c>
      <c r="AR34" s="127"/>
      <c r="BC34" s="121">
        <v>12</v>
      </c>
      <c r="BD34" s="121"/>
      <c r="BE34" s="121"/>
    </row>
    <row r="35" spans="2:57" x14ac:dyDescent="0.25">
      <c r="B35" s="6"/>
      <c r="C35" s="52" t="s">
        <v>11</v>
      </c>
      <c r="D35" s="424"/>
      <c r="E35" s="9">
        <v>0.03</v>
      </c>
      <c r="F35" s="112"/>
      <c r="G35" s="191"/>
      <c r="H35" s="112"/>
      <c r="I35" s="112"/>
      <c r="J35" s="112"/>
      <c r="K35" s="20"/>
      <c r="L35" s="186"/>
      <c r="M35" s="20"/>
      <c r="N35" s="154"/>
      <c r="O35" s="2" t="s">
        <v>55</v>
      </c>
      <c r="P35" s="70">
        <f>SUMIF($P$33:$Z$33,"&gt;0")/-SUMIF(P33:Z33,"&lt;0")</f>
        <v>1.7024268110951539</v>
      </c>
      <c r="Q35" s="19"/>
      <c r="R35" s="19"/>
      <c r="S35" s="19"/>
      <c r="T35" s="19"/>
      <c r="U35" s="19"/>
      <c r="V35" s="19"/>
      <c r="W35" s="19"/>
      <c r="X35" s="19"/>
      <c r="Y35" s="19"/>
      <c r="Z35" s="19"/>
      <c r="AA35" s="78"/>
      <c r="AB35" s="127"/>
      <c r="AC35" s="122"/>
      <c r="AD35" s="6"/>
      <c r="AE35" s="438"/>
      <c r="AF35" s="45">
        <f>AF36+$AI$13</f>
        <v>1220000</v>
      </c>
      <c r="AG35" s="39">
        <v>0.14813782893755323</v>
      </c>
      <c r="AH35" s="39">
        <v>0.14326188187836397</v>
      </c>
      <c r="AI35" s="39">
        <v>0.1384055241477955</v>
      </c>
      <c r="AJ35" s="39">
        <v>0.13356743472203902</v>
      </c>
      <c r="AK35" s="39">
        <v>0.12874630747174942</v>
      </c>
      <c r="AL35" s="39">
        <v>0.12394084919278114</v>
      </c>
      <c r="AM35" s="39">
        <v>0.11914977766128021</v>
      </c>
      <c r="AN35" s="39">
        <v>0.11437181970602572</v>
      </c>
      <c r="AO35" s="39">
        <v>0.10960570929086777</v>
      </c>
      <c r="AP35" s="39">
        <v>0.10485018560009718</v>
      </c>
      <c r="AQ35" s="40">
        <v>0.10010399111948698</v>
      </c>
      <c r="AR35" s="127"/>
    </row>
    <row r="36" spans="2:57" x14ac:dyDescent="0.25">
      <c r="B36" s="6"/>
      <c r="C36" s="71" t="s">
        <v>8</v>
      </c>
      <c r="D36" s="421"/>
      <c r="E36" s="42">
        <f>-Q22/P13</f>
        <v>7.1203883495145628E-2</v>
      </c>
      <c r="F36" s="39"/>
      <c r="G36" s="198"/>
      <c r="H36" s="39"/>
      <c r="I36" s="39"/>
      <c r="J36" s="39"/>
      <c r="K36" s="20"/>
      <c r="L36" s="186"/>
      <c r="M36" s="20"/>
      <c r="N36" s="154"/>
      <c r="O36" s="2" t="s">
        <v>91</v>
      </c>
      <c r="P36" s="65">
        <f>SUM(P33:Z33)</f>
        <v>7234996.1542800842</v>
      </c>
      <c r="Q36" s="19"/>
      <c r="R36" s="19"/>
      <c r="S36" s="19"/>
      <c r="T36" s="19"/>
      <c r="U36" s="19"/>
      <c r="V36" s="19"/>
      <c r="W36" s="19"/>
      <c r="X36" s="19"/>
      <c r="Y36" s="19"/>
      <c r="Z36" s="19"/>
      <c r="AA36" s="78"/>
      <c r="AB36" s="127"/>
      <c r="AC36" s="122"/>
      <c r="AD36" s="6"/>
      <c r="AE36" s="438"/>
      <c r="AF36" s="45">
        <f>AF37+$AI$13</f>
        <v>1215000</v>
      </c>
      <c r="AG36" s="39">
        <v>0.14555000116542138</v>
      </c>
      <c r="AH36" s="39">
        <v>0.14066043985918597</v>
      </c>
      <c r="AI36" s="39">
        <v>0.1357899523068804</v>
      </c>
      <c r="AJ36" s="39">
        <v>0.1309372059995737</v>
      </c>
      <c r="AK36" s="39">
        <v>0.12610088254273677</v>
      </c>
      <c r="AL36" s="39">
        <v>0.12127967565186215</v>
      </c>
      <c r="AM36" s="39">
        <v>0.11647228916921093</v>
      </c>
      <c r="AN36" s="39">
        <v>0.11167743509432082</v>
      </c>
      <c r="AO36" s="39">
        <v>0.10689383162086363</v>
      </c>
      <c r="AP36" s="39">
        <v>0.10212020117240339</v>
      </c>
      <c r="AQ36" s="40">
        <v>9.7355268429432096E-2</v>
      </c>
      <c r="AR36" s="127"/>
    </row>
    <row r="37" spans="2:57" x14ac:dyDescent="0.25">
      <c r="B37" s="6"/>
      <c r="C37" s="20"/>
      <c r="D37" s="20"/>
      <c r="E37" s="20"/>
      <c r="F37" s="177"/>
      <c r="G37" s="199"/>
      <c r="H37" s="177"/>
      <c r="I37" s="177"/>
      <c r="J37" s="177"/>
      <c r="K37" s="20"/>
      <c r="L37" s="186"/>
      <c r="M37" s="20"/>
      <c r="N37" s="5"/>
      <c r="O37" s="2" t="s">
        <v>56</v>
      </c>
      <c r="P37" s="162">
        <f>SUM(Q37:Z37)</f>
        <v>5.1780228818588903</v>
      </c>
      <c r="Q37" s="73">
        <f t="shared" ref="Q37:Z37" si="15">IF(Q12&gt;$E$19,"",Q12*(Q33/(1+$P$34)^Q12)/-$P$33)</f>
        <v>6.3952902467127037E-2</v>
      </c>
      <c r="R37" s="73">
        <f t="shared" si="15"/>
        <v>0.11119934342543791</v>
      </c>
      <c r="S37" s="73">
        <f t="shared" si="15"/>
        <v>0.13414888716359424</v>
      </c>
      <c r="T37" s="73">
        <f t="shared" si="15"/>
        <v>0.19504712375737435</v>
      </c>
      <c r="U37" s="73">
        <f t="shared" si="15"/>
        <v>0.24070734956169154</v>
      </c>
      <c r="V37" s="73">
        <f t="shared" si="15"/>
        <v>4.4329672754836649</v>
      </c>
      <c r="W37" s="73" t="str">
        <f t="shared" si="15"/>
        <v/>
      </c>
      <c r="X37" s="73" t="str">
        <f t="shared" si="15"/>
        <v/>
      </c>
      <c r="Y37" s="73" t="str">
        <f t="shared" si="15"/>
        <v/>
      </c>
      <c r="Z37" s="73" t="str">
        <f t="shared" si="15"/>
        <v/>
      </c>
      <c r="AA37" s="117"/>
      <c r="AB37" s="127"/>
      <c r="AC37" s="122"/>
      <c r="AD37" s="6"/>
      <c r="AE37" s="438"/>
      <c r="AF37" s="45">
        <f>AF38+$AI$13</f>
        <v>1210000</v>
      </c>
      <c r="AG37" s="39">
        <v>0.14294205228478618</v>
      </c>
      <c r="AH37" s="39">
        <v>0.13803846654819019</v>
      </c>
      <c r="AI37" s="39">
        <v>0.13315342512852069</v>
      </c>
      <c r="AJ37" s="39">
        <v>0.12828558338063889</v>
      </c>
      <c r="AK37" s="39">
        <v>0.12343360995520225</v>
      </c>
      <c r="AL37" s="39">
        <v>0.11859618475632461</v>
      </c>
      <c r="AM37" s="39">
        <v>0.11377199691690021</v>
      </c>
      <c r="AN37" s="39">
        <v>0.10895974278392928</v>
      </c>
      <c r="AO37" s="39">
        <v>0.10415812390615575</v>
      </c>
      <c r="AP37" s="39">
        <v>9.9365845016221366E-2</v>
      </c>
      <c r="AQ37" s="40">
        <v>9.4581611999400517E-2</v>
      </c>
      <c r="AR37" s="127"/>
    </row>
    <row r="38" spans="2:57" ht="15.75" thickBot="1" x14ac:dyDescent="0.3">
      <c r="B38" s="6"/>
      <c r="C38" s="63" t="s">
        <v>37</v>
      </c>
      <c r="D38" s="420"/>
      <c r="E38" s="64"/>
      <c r="F38" s="20"/>
      <c r="G38" s="186"/>
      <c r="H38" s="20"/>
      <c r="I38" s="20"/>
      <c r="J38" s="20"/>
      <c r="K38" s="20"/>
      <c r="L38" s="186"/>
      <c r="M38" s="20"/>
      <c r="N38" s="153"/>
      <c r="O38" s="4" t="s">
        <v>22</v>
      </c>
      <c r="P38" s="21"/>
      <c r="Q38" s="22">
        <f t="shared" ref="Q38:Z38" si="16">IFERROR(-Q27/$P$33,"")</f>
        <v>7.0718446601941751E-2</v>
      </c>
      <c r="R38" s="22">
        <f t="shared" si="16"/>
        <v>6.7985631067961169E-2</v>
      </c>
      <c r="S38" s="22">
        <f t="shared" si="16"/>
        <v>6.0462093203883481E-2</v>
      </c>
      <c r="T38" s="22">
        <f t="shared" si="16"/>
        <v>7.2907023961165038E-2</v>
      </c>
      <c r="U38" s="22">
        <f t="shared" si="16"/>
        <v>7.9594234680000001E-2</v>
      </c>
      <c r="V38" s="22">
        <f t="shared" si="16"/>
        <v>8.1982061720400012E-2</v>
      </c>
      <c r="W38" s="22" t="str">
        <f t="shared" si="16"/>
        <v/>
      </c>
      <c r="X38" s="22" t="str">
        <f t="shared" si="16"/>
        <v/>
      </c>
      <c r="Y38" s="22" t="str">
        <f t="shared" si="16"/>
        <v/>
      </c>
      <c r="Z38" s="22" t="str">
        <f t="shared" si="16"/>
        <v/>
      </c>
      <c r="AA38" s="118"/>
      <c r="AB38" s="127"/>
      <c r="AC38" s="122"/>
      <c r="AD38" s="6"/>
      <c r="AE38" s="438"/>
      <c r="AF38" s="45">
        <f>AF39+$AI$13</f>
        <v>1205000</v>
      </c>
      <c r="AG38" s="39">
        <v>0.14031356288848174</v>
      </c>
      <c r="AH38" s="39">
        <v>0.13539552896743356</v>
      </c>
      <c r="AI38" s="39">
        <v>0.13049549543550087</v>
      </c>
      <c r="AJ38" s="39">
        <v>0.1256121048230372</v>
      </c>
      <c r="AK38" s="39">
        <v>0.12074401209630037</v>
      </c>
      <c r="AL38" s="39">
        <v>0.1158898825741137</v>
      </c>
      <c r="AM38" s="39">
        <v>0.11104838985842447</v>
      </c>
      <c r="AN38" s="39">
        <v>0.10621821377081431</v>
      </c>
      <c r="AO38" s="39">
        <v>0.10139803828696059</v>
      </c>
      <c r="AP38" s="39">
        <v>9.6586549460871085E-2</v>
      </c>
      <c r="AQ38" s="40">
        <v>9.1782433330589885E-2</v>
      </c>
      <c r="AR38" s="127"/>
    </row>
    <row r="39" spans="2:57" ht="15.75" thickBot="1" x14ac:dyDescent="0.3">
      <c r="B39" s="6"/>
      <c r="C39" s="52" t="s">
        <v>17</v>
      </c>
      <c r="D39" s="424"/>
      <c r="E39" s="9">
        <v>0.65</v>
      </c>
      <c r="F39" s="178"/>
      <c r="G39" s="187"/>
      <c r="H39" s="178"/>
      <c r="I39" s="178"/>
      <c r="J39" s="178"/>
      <c r="K39" s="20"/>
      <c r="L39" s="186"/>
      <c r="M39" s="20"/>
      <c r="N39" s="20"/>
      <c r="O39" s="20"/>
      <c r="P39" s="20"/>
      <c r="Q39" s="20"/>
      <c r="R39" s="20"/>
      <c r="S39" s="20"/>
      <c r="T39" s="20"/>
      <c r="U39" s="20"/>
      <c r="V39" s="20"/>
      <c r="W39" s="20"/>
      <c r="X39" s="19"/>
      <c r="Y39" s="20"/>
      <c r="Z39" s="20"/>
      <c r="AA39" s="20"/>
      <c r="AB39" s="127"/>
      <c r="AC39" s="122"/>
      <c r="AD39" s="6"/>
      <c r="AE39" s="438"/>
      <c r="AF39" s="32">
        <v>1200000</v>
      </c>
      <c r="AG39" s="39">
        <v>0.13766410000513862</v>
      </c>
      <c r="AH39" s="39">
        <v>0.13273117996419415</v>
      </c>
      <c r="AI39" s="39">
        <v>0.12781570122932639</v>
      </c>
      <c r="AJ39" s="39">
        <v>0.12291629277821059</v>
      </c>
      <c r="AK39" s="39">
        <v>0.11803159512034633</v>
      </c>
      <c r="AL39" s="39">
        <v>0.11316025816938446</v>
      </c>
      <c r="AM39" s="39">
        <v>0.10830093912530003</v>
      </c>
      <c r="AN39" s="39">
        <v>0.10345230035814756</v>
      </c>
      <c r="AO39" s="39">
        <v>9.8613007285029752E-2</v>
      </c>
      <c r="AP39" s="39">
        <v>9.3781726231734419E-2</v>
      </c>
      <c r="AQ39" s="40">
        <v>8.8957122270258981E-2</v>
      </c>
      <c r="AR39" s="127"/>
    </row>
    <row r="40" spans="2:57" x14ac:dyDescent="0.25">
      <c r="B40" s="6"/>
      <c r="C40" s="52" t="s">
        <v>18</v>
      </c>
      <c r="D40" s="424"/>
      <c r="E40" s="10">
        <v>0.04</v>
      </c>
      <c r="F40" s="112"/>
      <c r="G40" s="191"/>
      <c r="H40" s="112"/>
      <c r="I40" s="112"/>
      <c r="J40" s="112"/>
      <c r="K40" s="20"/>
      <c r="L40" s="186"/>
      <c r="M40" s="20"/>
      <c r="N40" s="151" t="s">
        <v>87</v>
      </c>
      <c r="O40" s="63" t="s">
        <v>26</v>
      </c>
      <c r="P40" s="53"/>
      <c r="Q40" s="53"/>
      <c r="R40" s="53"/>
      <c r="S40" s="53"/>
      <c r="T40" s="53"/>
      <c r="U40" s="53"/>
      <c r="V40" s="53"/>
      <c r="W40" s="53"/>
      <c r="X40" s="53"/>
      <c r="Y40" s="53"/>
      <c r="Z40" s="53"/>
      <c r="AA40" s="64"/>
      <c r="AB40" s="127"/>
      <c r="AC40" s="122"/>
      <c r="AD40" s="6"/>
      <c r="AE40" s="438"/>
      <c r="AF40" s="45">
        <f>AF39-$AI$13</f>
        <v>1195000</v>
      </c>
      <c r="AG40" s="39">
        <v>0.13499321649809315</v>
      </c>
      <c r="AH40" s="39">
        <v>0.13004495757510504</v>
      </c>
      <c r="AI40" s="39">
        <v>0.12511356501700277</v>
      </c>
      <c r="AJ40" s="39">
        <v>0.12019765347795963</v>
      </c>
      <c r="AK40" s="39">
        <v>0.11529584819251615</v>
      </c>
      <c r="AL40" s="39">
        <v>0.11040678279996485</v>
      </c>
      <c r="AM40" s="39">
        <v>0.10552909717420444</v>
      </c>
      <c r="AN40" s="39">
        <v>0.10066143525045512</v>
      </c>
      <c r="AO40" s="39">
        <v>9.5802442840054347E-2</v>
      </c>
      <c r="AP40" s="39">
        <v>9.0950765424373081E-2</v>
      </c>
      <c r="AQ40" s="40">
        <v>8.6105045918547285E-2</v>
      </c>
      <c r="AR40" s="127"/>
    </row>
    <row r="41" spans="2:57" x14ac:dyDescent="0.25">
      <c r="B41" s="6"/>
      <c r="C41" s="52" t="s">
        <v>94</v>
      </c>
      <c r="D41" s="424"/>
      <c r="E41" s="11">
        <v>30</v>
      </c>
      <c r="F41" s="111"/>
      <c r="G41" s="192"/>
      <c r="H41" s="111"/>
      <c r="I41" s="111"/>
      <c r="J41" s="111"/>
      <c r="K41" s="20"/>
      <c r="L41" s="186"/>
      <c r="M41" s="20"/>
      <c r="N41" s="152" t="s">
        <v>88</v>
      </c>
      <c r="O41" s="18" t="s">
        <v>36</v>
      </c>
      <c r="P41" s="59">
        <v>0</v>
      </c>
      <c r="Q41" s="59">
        <v>1</v>
      </c>
      <c r="R41" s="59">
        <v>2</v>
      </c>
      <c r="S41" s="59">
        <v>3</v>
      </c>
      <c r="T41" s="59">
        <v>4</v>
      </c>
      <c r="U41" s="59">
        <v>5</v>
      </c>
      <c r="V41" s="59">
        <v>6</v>
      </c>
      <c r="W41" s="59">
        <v>7</v>
      </c>
      <c r="X41" s="59">
        <v>8</v>
      </c>
      <c r="Y41" s="59">
        <v>9</v>
      </c>
      <c r="Z41" s="59">
        <v>10</v>
      </c>
      <c r="AA41" s="60">
        <v>11</v>
      </c>
      <c r="AB41" s="127"/>
      <c r="AC41" s="122"/>
      <c r="AD41" s="6"/>
      <c r="AE41" s="438"/>
      <c r="AF41" s="45">
        <f>AF40-$AI$13</f>
        <v>1190000</v>
      </c>
      <c r="AG41" s="39">
        <v>0.13230045043037464</v>
      </c>
      <c r="AH41" s="39">
        <v>0.12733638435385441</v>
      </c>
      <c r="AI41" s="39">
        <v>0.12238859309877625</v>
      </c>
      <c r="AJ41" s="39">
        <v>0.11745567617927222</v>
      </c>
      <c r="AK41" s="39">
        <v>0.11253624268755646</v>
      </c>
      <c r="AL41" s="39">
        <v>0.10762890906644418</v>
      </c>
      <c r="AM41" s="39">
        <v>0.10273229688264207</v>
      </c>
      <c r="AN41" s="39">
        <v>9.7845030591703797E-2</v>
      </c>
      <c r="AO41" s="39">
        <v>9.2965735285609252E-2</v>
      </c>
      <c r="AP41" s="39">
        <v>8.8093034413351257E-2</v>
      </c>
      <c r="AQ41" s="40">
        <v>8.3225547464749861E-2</v>
      </c>
      <c r="AR41" s="127"/>
    </row>
    <row r="42" spans="2:57" x14ac:dyDescent="0.25">
      <c r="B42" s="6"/>
      <c r="C42" s="52" t="s">
        <v>19</v>
      </c>
      <c r="D42" s="424"/>
      <c r="E42" s="11">
        <v>1</v>
      </c>
      <c r="F42" s="176"/>
      <c r="G42" s="197"/>
      <c r="H42" s="176"/>
      <c r="I42" s="176"/>
      <c r="J42" s="176"/>
      <c r="K42" s="20"/>
      <c r="L42" s="186"/>
      <c r="M42" s="20"/>
      <c r="N42" s="154"/>
      <c r="O42" s="2" t="s">
        <v>0</v>
      </c>
      <c r="P42" s="19">
        <f>-$E$16*(1+$E$18)</f>
        <v>-10300000</v>
      </c>
      <c r="Q42" s="20"/>
      <c r="R42" s="20"/>
      <c r="S42" s="20"/>
      <c r="T42" s="20"/>
      <c r="U42" s="20"/>
      <c r="V42" s="20"/>
      <c r="W42" s="20"/>
      <c r="X42" s="20"/>
      <c r="Y42" s="20"/>
      <c r="Z42" s="20"/>
      <c r="AA42" s="83"/>
      <c r="AB42" s="127"/>
      <c r="AC42" s="122"/>
      <c r="AD42" s="6"/>
      <c r="AE42" s="438"/>
      <c r="AF42" s="45">
        <f>AF41-$AI$13</f>
        <v>1185000</v>
      </c>
      <c r="AG42" s="39">
        <v>0.12958532439331805</v>
      </c>
      <c r="AH42" s="39">
        <v>0.12460496665994092</v>
      </c>
      <c r="AI42" s="39">
        <v>0.11964027481408035</v>
      </c>
      <c r="AJ42" s="39">
        <v>0.11468983236426178</v>
      </c>
      <c r="AK42" s="39">
        <v>0.10975223134022882</v>
      </c>
      <c r="AL42" s="39">
        <v>0.10482607000935285</v>
      </c>
      <c r="AM42" s="39">
        <v>9.9909950588663587E-2</v>
      </c>
      <c r="AN42" s="39">
        <v>9.5002476943055303E-2</v>
      </c>
      <c r="AO42" s="39">
        <v>9.0102252260000126E-2</v>
      </c>
      <c r="AP42" s="39">
        <v>8.5207876690730711E-2</v>
      </c>
      <c r="AQ42" s="40">
        <v>8.031794494749156E-2</v>
      </c>
      <c r="AR42" s="127"/>
    </row>
    <row r="43" spans="2:57" x14ac:dyDescent="0.25">
      <c r="B43" s="6"/>
      <c r="C43" s="52" t="s">
        <v>20</v>
      </c>
      <c r="D43" s="424"/>
      <c r="E43" s="16">
        <f>PMT(E40/12,E41*12,E16*E39)</f>
        <v>-31031.994205254865</v>
      </c>
      <c r="F43" s="176"/>
      <c r="G43" s="197"/>
      <c r="H43" s="176"/>
      <c r="I43" s="176"/>
      <c r="J43" s="176"/>
      <c r="K43" s="20"/>
      <c r="L43" s="186"/>
      <c r="M43" s="20"/>
      <c r="N43" s="155"/>
      <c r="O43" s="2" t="s">
        <v>21</v>
      </c>
      <c r="P43" s="19">
        <f>$E$44</f>
        <v>6435000.0000000885</v>
      </c>
      <c r="Q43" s="20"/>
      <c r="R43" s="20"/>
      <c r="S43" s="20"/>
      <c r="T43" s="20"/>
      <c r="U43" s="20"/>
      <c r="V43" s="20"/>
      <c r="W43" s="20"/>
      <c r="X43" s="20"/>
      <c r="Y43" s="20"/>
      <c r="Z43" s="20"/>
      <c r="AA43" s="83"/>
      <c r="AB43" s="127"/>
      <c r="AC43" s="122"/>
      <c r="AD43" s="6"/>
      <c r="AE43" s="438"/>
      <c r="AF43" s="45">
        <f>AF42-$AI$13</f>
        <v>1180000</v>
      </c>
      <c r="AG43" s="39">
        <v>0.12684734479631188</v>
      </c>
      <c r="AH43" s="39">
        <v>0.12185019390571084</v>
      </c>
      <c r="AI43" s="39">
        <v>0.11686808174268015</v>
      </c>
      <c r="AJ43" s="39">
        <v>0.11189957489194557</v>
      </c>
      <c r="AK43" s="39">
        <v>0.10694324734393668</v>
      </c>
      <c r="AL43" s="39">
        <v>0.10199767815046301</v>
      </c>
      <c r="AM43" s="39">
        <v>9.7061449070417138E-2</v>
      </c>
      <c r="AN43" s="39">
        <v>9.2133142195677253E-2</v>
      </c>
      <c r="AO43" s="39">
        <v>8.7211337546900802E-2</v>
      </c>
      <c r="AP43" s="39">
        <v>8.2294610628645071E-2</v>
      </c>
      <c r="AQ43" s="40">
        <v>7.7381529932704529E-2</v>
      </c>
      <c r="AR43" s="127"/>
    </row>
    <row r="44" spans="2:57" x14ac:dyDescent="0.25">
      <c r="B44" s="6"/>
      <c r="C44" s="71" t="s">
        <v>21</v>
      </c>
      <c r="D44" s="421"/>
      <c r="E44" s="17">
        <f>PV(E40/12,E41*12,E43)*(1-(E42/100))</f>
        <v>6435000.0000000885</v>
      </c>
      <c r="F44" s="24"/>
      <c r="G44" s="200"/>
      <c r="H44" s="24"/>
      <c r="I44" s="24"/>
      <c r="J44" s="24"/>
      <c r="K44" s="20"/>
      <c r="L44" s="186"/>
      <c r="M44" s="20"/>
      <c r="N44" s="155">
        <f>N14</f>
        <v>0.03</v>
      </c>
      <c r="O44" s="69" t="s">
        <v>79</v>
      </c>
      <c r="P44" s="69"/>
      <c r="Q44" s="65">
        <f>E23</f>
        <v>1248000</v>
      </c>
      <c r="R44" s="65">
        <f t="shared" ref="R44:AA44" si="17">IF(Q12&gt;$E$19,"",Q44*(1+$N$44))</f>
        <v>1285440</v>
      </c>
      <c r="S44" s="65">
        <f t="shared" si="17"/>
        <v>1324003.2</v>
      </c>
      <c r="T44" s="65">
        <f t="shared" si="17"/>
        <v>1363723.2960000001</v>
      </c>
      <c r="U44" s="65">
        <f t="shared" si="17"/>
        <v>1404634.9948800001</v>
      </c>
      <c r="V44" s="65">
        <f t="shared" si="17"/>
        <v>1446774.0447264002</v>
      </c>
      <c r="W44" s="65">
        <f t="shared" si="17"/>
        <v>1490177.2660681922</v>
      </c>
      <c r="X44" s="65" t="str">
        <f t="shared" si="17"/>
        <v/>
      </c>
      <c r="Y44" s="65" t="str">
        <f t="shared" si="17"/>
        <v/>
      </c>
      <c r="Z44" s="65" t="str">
        <f t="shared" si="17"/>
        <v/>
      </c>
      <c r="AA44" s="80" t="str">
        <f t="shared" si="17"/>
        <v/>
      </c>
      <c r="AB44" s="127"/>
      <c r="AC44" s="122"/>
      <c r="AD44" s="6"/>
      <c r="AE44" s="439"/>
      <c r="AF44" s="46">
        <f>AF43-$AI$13</f>
        <v>1175000</v>
      </c>
      <c r="AG44" s="41">
        <v>0.12408600111491763</v>
      </c>
      <c r="AH44" s="41">
        <v>0.11907153775870016</v>
      </c>
      <c r="AI44" s="41">
        <v>0.11407146685777025</v>
      </c>
      <c r="AJ44" s="41">
        <v>0.10908433709832788</v>
      </c>
      <c r="AK44" s="41">
        <v>0.10410870339368739</v>
      </c>
      <c r="AL44" s="41">
        <v>9.9143124474150079E-2</v>
      </c>
      <c r="AM44" s="41">
        <v>9.418616046091155E-2</v>
      </c>
      <c r="AN44" s="41">
        <v>8.9236370413560584E-2</v>
      </c>
      <c r="AO44" s="41">
        <v>8.4292309840339197E-2</v>
      </c>
      <c r="AP44" s="41">
        <v>7.9352528159907232E-2</v>
      </c>
      <c r="AQ44" s="42">
        <v>7.4415566102745467E-2</v>
      </c>
      <c r="AR44" s="127"/>
    </row>
    <row r="45" spans="2:57" x14ac:dyDescent="0.25">
      <c r="B45" s="6"/>
      <c r="C45" s="1"/>
      <c r="D45" s="1"/>
      <c r="E45" s="1"/>
      <c r="F45" s="24"/>
      <c r="G45" s="200"/>
      <c r="H45" s="24"/>
      <c r="I45" s="24"/>
      <c r="J45" s="24"/>
      <c r="K45" s="20"/>
      <c r="L45" s="186"/>
      <c r="M45" s="20"/>
      <c r="N45" s="154"/>
      <c r="O45" s="2" t="s">
        <v>32</v>
      </c>
      <c r="P45" s="20"/>
      <c r="Q45" s="19">
        <f>Q15</f>
        <v>124800</v>
      </c>
      <c r="R45" s="19">
        <f t="shared" ref="R45:AA45" si="18">IF(Q12&gt;$E$19,"",R15)</f>
        <v>128544</v>
      </c>
      <c r="S45" s="19">
        <f t="shared" si="18"/>
        <v>132400.32000000001</v>
      </c>
      <c r="T45" s="19">
        <f t="shared" si="18"/>
        <v>136372.32960000003</v>
      </c>
      <c r="U45" s="19">
        <f t="shared" si="18"/>
        <v>140463.49948800003</v>
      </c>
      <c r="V45" s="19">
        <f t="shared" si="18"/>
        <v>144677.40447264002</v>
      </c>
      <c r="W45" s="19">
        <f t="shared" si="18"/>
        <v>149017.72660681923</v>
      </c>
      <c r="X45" s="19" t="str">
        <f t="shared" si="18"/>
        <v/>
      </c>
      <c r="Y45" s="19" t="str">
        <f t="shared" si="18"/>
        <v/>
      </c>
      <c r="Z45" s="19" t="str">
        <f t="shared" si="18"/>
        <v/>
      </c>
      <c r="AA45" s="78" t="str">
        <f t="shared" si="18"/>
        <v/>
      </c>
      <c r="AB45" s="127"/>
      <c r="AC45" s="122"/>
      <c r="AD45" s="6"/>
      <c r="AE45" s="20"/>
      <c r="AF45" s="20"/>
      <c r="AG45" s="20"/>
      <c r="AH45" s="20"/>
      <c r="AI45" s="104"/>
      <c r="AJ45" s="20"/>
      <c r="AK45" s="20"/>
      <c r="AL45" s="20"/>
      <c r="AM45" s="20"/>
      <c r="AN45" s="20"/>
      <c r="AO45" s="20"/>
      <c r="AP45" s="20"/>
      <c r="AQ45" s="20"/>
      <c r="AR45" s="127"/>
    </row>
    <row r="46" spans="2:57" x14ac:dyDescent="0.25">
      <c r="B46" s="6"/>
      <c r="C46" s="1"/>
      <c r="D46" s="1"/>
      <c r="E46" s="1"/>
      <c r="F46" s="20"/>
      <c r="G46" s="186"/>
      <c r="H46" s="20"/>
      <c r="I46" s="20"/>
      <c r="J46" s="20"/>
      <c r="K46" s="20"/>
      <c r="L46" s="186"/>
      <c r="M46" s="20"/>
      <c r="N46" s="154"/>
      <c r="O46" s="4" t="s">
        <v>82</v>
      </c>
      <c r="P46" s="21"/>
      <c r="Q46" s="48" t="str">
        <f t="shared" ref="Q46:AA46" si="19">IF(Q16=0,"",Q16)</f>
        <v/>
      </c>
      <c r="R46" s="48">
        <f t="shared" si="19"/>
        <v>50000</v>
      </c>
      <c r="S46" s="48">
        <f t="shared" si="19"/>
        <v>50000</v>
      </c>
      <c r="T46" s="48" t="str">
        <f t="shared" si="19"/>
        <v/>
      </c>
      <c r="U46" s="48" t="str">
        <f t="shared" si="19"/>
        <v/>
      </c>
      <c r="V46" s="48" t="str">
        <f t="shared" si="19"/>
        <v/>
      </c>
      <c r="W46" s="48" t="str">
        <f t="shared" si="19"/>
        <v/>
      </c>
      <c r="X46" s="48" t="str">
        <f t="shared" si="19"/>
        <v/>
      </c>
      <c r="Y46" s="48" t="str">
        <f t="shared" si="19"/>
        <v/>
      </c>
      <c r="Z46" s="48" t="str">
        <f t="shared" si="19"/>
        <v/>
      </c>
      <c r="AA46" s="79" t="str">
        <f t="shared" si="19"/>
        <v/>
      </c>
      <c r="AB46" s="127"/>
      <c r="AC46" s="122"/>
      <c r="AD46" s="167"/>
      <c r="AE46" s="122"/>
      <c r="AF46" s="122"/>
      <c r="AG46" s="122"/>
      <c r="AH46" s="122"/>
      <c r="AI46" s="123"/>
      <c r="AJ46" s="122"/>
      <c r="AK46" s="122"/>
      <c r="AL46" s="122"/>
      <c r="AM46" s="122"/>
      <c r="AN46" s="122"/>
      <c r="AO46" s="122"/>
      <c r="AP46" s="122"/>
      <c r="AQ46" s="122"/>
      <c r="AR46" s="128"/>
    </row>
    <row r="47" spans="2:57" x14ac:dyDescent="0.25">
      <c r="B47" s="6"/>
      <c r="C47" s="1"/>
      <c r="D47" s="1"/>
      <c r="E47" s="1"/>
      <c r="F47" s="178"/>
      <c r="G47" s="187"/>
      <c r="H47" s="178"/>
      <c r="I47" s="178"/>
      <c r="J47" s="178"/>
      <c r="K47" s="20"/>
      <c r="L47" s="186"/>
      <c r="M47" s="20"/>
      <c r="N47" s="155"/>
      <c r="O47" s="67" t="s">
        <v>52</v>
      </c>
      <c r="P47" s="20"/>
      <c r="Q47" s="65">
        <f>Q44-SUM(Q45:Q46)</f>
        <v>1123200</v>
      </c>
      <c r="R47" s="65">
        <f t="shared" ref="R47:AA47" si="20">IF(Q12&gt;$E$19,"",R44-SUM(R45:R46))</f>
        <v>1106896</v>
      </c>
      <c r="S47" s="65">
        <f t="shared" si="20"/>
        <v>1141602.8799999999</v>
      </c>
      <c r="T47" s="65">
        <f t="shared" si="20"/>
        <v>1227350.9664</v>
      </c>
      <c r="U47" s="65">
        <f t="shared" si="20"/>
        <v>1264171.4953920001</v>
      </c>
      <c r="V47" s="65">
        <f t="shared" si="20"/>
        <v>1302096.6402537602</v>
      </c>
      <c r="W47" s="65">
        <f t="shared" si="20"/>
        <v>1341159.5394613729</v>
      </c>
      <c r="X47" s="65" t="str">
        <f t="shared" si="20"/>
        <v/>
      </c>
      <c r="Y47" s="65" t="str">
        <f t="shared" si="20"/>
        <v/>
      </c>
      <c r="Z47" s="65" t="str">
        <f t="shared" si="20"/>
        <v/>
      </c>
      <c r="AA47" s="184" t="str">
        <f t="shared" si="20"/>
        <v/>
      </c>
      <c r="AB47" s="127"/>
      <c r="AC47" s="122"/>
      <c r="AD47" s="6"/>
      <c r="AE47" s="20"/>
      <c r="AF47" s="20"/>
      <c r="AG47" s="20"/>
      <c r="AH47" s="20"/>
      <c r="AI47" s="20"/>
      <c r="AJ47" s="20"/>
      <c r="AK47" s="20"/>
      <c r="AL47" s="20"/>
      <c r="AM47" s="20"/>
      <c r="AN47" s="20"/>
      <c r="AO47" s="20"/>
      <c r="AP47" s="20"/>
      <c r="AQ47" s="20"/>
      <c r="AR47" s="127"/>
    </row>
    <row r="48" spans="2:57" x14ac:dyDescent="0.25">
      <c r="B48" s="6"/>
      <c r="C48" s="1"/>
      <c r="D48" s="1"/>
      <c r="E48" s="1"/>
      <c r="F48" s="20"/>
      <c r="G48" s="186"/>
      <c r="H48" s="20"/>
      <c r="I48" s="20"/>
      <c r="J48" s="20"/>
      <c r="K48" s="20"/>
      <c r="L48" s="186"/>
      <c r="M48" s="20"/>
      <c r="N48" s="155">
        <f>N18</f>
        <v>0.03</v>
      </c>
      <c r="O48" s="2" t="s">
        <v>1</v>
      </c>
      <c r="P48" s="20"/>
      <c r="Q48" s="19">
        <f>Q18</f>
        <v>100000</v>
      </c>
      <c r="R48" s="19">
        <f t="shared" ref="R48:AA48" si="21">IF(Q12&gt;$E$19,"",Q48*(1+$N$48))</f>
        <v>103000</v>
      </c>
      <c r="S48" s="19">
        <f t="shared" si="21"/>
        <v>106090</v>
      </c>
      <c r="T48" s="19">
        <f t="shared" si="21"/>
        <v>109272.7</v>
      </c>
      <c r="U48" s="19">
        <f t="shared" si="21"/>
        <v>112550.88099999999</v>
      </c>
      <c r="V48" s="19">
        <f t="shared" si="21"/>
        <v>115927.40742999999</v>
      </c>
      <c r="W48" s="19">
        <f t="shared" si="21"/>
        <v>119405.2296529</v>
      </c>
      <c r="X48" s="19" t="str">
        <f t="shared" si="21"/>
        <v/>
      </c>
      <c r="Y48" s="19" t="str">
        <f t="shared" si="21"/>
        <v/>
      </c>
      <c r="Z48" s="19" t="str">
        <f t="shared" si="21"/>
        <v/>
      </c>
      <c r="AA48" s="78" t="str">
        <f t="shared" si="21"/>
        <v/>
      </c>
      <c r="AB48" s="127"/>
      <c r="AC48" s="122"/>
      <c r="AD48" s="6"/>
      <c r="AE48" s="29" t="s">
        <v>62</v>
      </c>
      <c r="AF48" s="102"/>
      <c r="AG48" s="102"/>
      <c r="AH48" s="102"/>
      <c r="AI48" s="102"/>
      <c r="AJ48" s="34"/>
      <c r="AK48" s="20"/>
      <c r="AL48" s="20"/>
      <c r="AM48" s="20"/>
      <c r="AN48" s="20"/>
      <c r="AO48" s="20"/>
      <c r="AP48" s="20"/>
      <c r="AQ48" s="20"/>
      <c r="AR48" s="127"/>
    </row>
    <row r="49" spans="2:44" x14ac:dyDescent="0.25">
      <c r="B49" s="6"/>
      <c r="C49" s="1"/>
      <c r="D49" s="1"/>
      <c r="E49" s="1"/>
      <c r="F49" s="133"/>
      <c r="G49" s="201"/>
      <c r="H49" s="133"/>
      <c r="I49" s="133"/>
      <c r="J49" s="133"/>
      <c r="K49" s="20"/>
      <c r="L49" s="186"/>
      <c r="M49" s="20"/>
      <c r="N49" s="155">
        <f>N19</f>
        <v>0.03</v>
      </c>
      <c r="O49" s="2" t="s">
        <v>2</v>
      </c>
      <c r="P49" s="20"/>
      <c r="Q49" s="19">
        <f>$E$26</f>
        <v>65000</v>
      </c>
      <c r="R49" s="19">
        <f t="shared" ref="R49:AA49" si="22">IF(Q12&gt;$E$19,"",Q49*(1+$N$49))</f>
        <v>66950</v>
      </c>
      <c r="S49" s="19">
        <f t="shared" si="22"/>
        <v>68958.5</v>
      </c>
      <c r="T49" s="19">
        <f t="shared" si="22"/>
        <v>71027.255000000005</v>
      </c>
      <c r="U49" s="19">
        <f t="shared" si="22"/>
        <v>73158.072650000002</v>
      </c>
      <c r="V49" s="19">
        <f t="shared" si="22"/>
        <v>75352.814829499999</v>
      </c>
      <c r="W49" s="19">
        <f t="shared" si="22"/>
        <v>77613.399274384996</v>
      </c>
      <c r="X49" s="19" t="str">
        <f t="shared" si="22"/>
        <v/>
      </c>
      <c r="Y49" s="19" t="str">
        <f t="shared" si="22"/>
        <v/>
      </c>
      <c r="Z49" s="19" t="str">
        <f t="shared" si="22"/>
        <v/>
      </c>
      <c r="AA49" s="78" t="str">
        <f t="shared" si="22"/>
        <v/>
      </c>
      <c r="AB49" s="127"/>
      <c r="AC49" s="122"/>
      <c r="AD49" s="6"/>
      <c r="AE49" s="430" t="s">
        <v>63</v>
      </c>
      <c r="AF49" s="431"/>
      <c r="AG49" s="431"/>
      <c r="AH49" s="431"/>
      <c r="AI49" s="431"/>
      <c r="AJ49" s="432"/>
      <c r="AK49" s="20"/>
      <c r="AL49" s="20"/>
      <c r="AM49" s="20"/>
      <c r="AN49" s="20"/>
      <c r="AO49" s="20"/>
      <c r="AP49" s="20"/>
      <c r="AQ49" s="20"/>
      <c r="AR49" s="127"/>
    </row>
    <row r="50" spans="2:44" x14ac:dyDescent="0.25">
      <c r="B50" s="6"/>
      <c r="C50" s="1"/>
      <c r="D50" s="1"/>
      <c r="E50" s="1"/>
      <c r="F50" s="133"/>
      <c r="G50" s="201"/>
      <c r="H50" s="133"/>
      <c r="I50" s="133"/>
      <c r="J50" s="133"/>
      <c r="K50" s="20"/>
      <c r="L50" s="186"/>
      <c r="M50" s="20"/>
      <c r="N50" s="155">
        <f>N20</f>
        <v>0.03</v>
      </c>
      <c r="O50" s="2" t="s">
        <v>3</v>
      </c>
      <c r="P50" s="20"/>
      <c r="Q50" s="19">
        <f>$E$27*$E$16/100</f>
        <v>100000</v>
      </c>
      <c r="R50" s="19">
        <f t="shared" ref="R50:AA50" si="23">IF(Q12&gt;$E$19,"",Q50*(1+$N$50))</f>
        <v>103000</v>
      </c>
      <c r="S50" s="19">
        <f t="shared" si="23"/>
        <v>106090</v>
      </c>
      <c r="T50" s="19">
        <f t="shared" si="23"/>
        <v>109272.7</v>
      </c>
      <c r="U50" s="19">
        <f t="shared" si="23"/>
        <v>112550.88099999999</v>
      </c>
      <c r="V50" s="19">
        <f t="shared" si="23"/>
        <v>115927.40742999999</v>
      </c>
      <c r="W50" s="19">
        <f t="shared" si="23"/>
        <v>119405.2296529</v>
      </c>
      <c r="X50" s="19" t="str">
        <f t="shared" si="23"/>
        <v/>
      </c>
      <c r="Y50" s="19" t="str">
        <f t="shared" si="23"/>
        <v/>
      </c>
      <c r="Z50" s="19" t="str">
        <f t="shared" si="23"/>
        <v/>
      </c>
      <c r="AA50" s="78" t="str">
        <f t="shared" si="23"/>
        <v/>
      </c>
      <c r="AB50" s="127"/>
      <c r="AC50" s="122"/>
      <c r="AD50" s="6"/>
      <c r="AE50" s="94"/>
      <c r="AF50" s="95"/>
      <c r="AG50" s="61" t="s">
        <v>54</v>
      </c>
      <c r="AH50" s="61" t="s">
        <v>55</v>
      </c>
      <c r="AI50" s="61" t="s">
        <v>92</v>
      </c>
      <c r="AJ50" s="62" t="s">
        <v>56</v>
      </c>
      <c r="AK50" s="20"/>
      <c r="AL50" s="20"/>
      <c r="AM50" s="20"/>
      <c r="AN50" s="20"/>
      <c r="AO50" s="20"/>
      <c r="AP50" s="20"/>
      <c r="AQ50" s="20"/>
      <c r="AR50" s="127"/>
    </row>
    <row r="51" spans="2:44" x14ac:dyDescent="0.25">
      <c r="B51" s="6"/>
      <c r="C51" s="1"/>
      <c r="D51" s="1"/>
      <c r="E51" s="1"/>
      <c r="F51" s="24"/>
      <c r="G51" s="200"/>
      <c r="H51" s="24"/>
      <c r="I51" s="24"/>
      <c r="J51" s="24"/>
      <c r="K51" s="20"/>
      <c r="L51" s="186"/>
      <c r="M51" s="20"/>
      <c r="N51" s="154"/>
      <c r="O51" s="4" t="s">
        <v>4</v>
      </c>
      <c r="P51" s="21"/>
      <c r="Q51" s="48">
        <f>Q44*$E$28</f>
        <v>124800</v>
      </c>
      <c r="R51" s="48">
        <f t="shared" ref="R51:AA51" si="24">IF(Q12&gt;$E$19,"",R44*$E$28)</f>
        <v>128544</v>
      </c>
      <c r="S51" s="48">
        <f t="shared" si="24"/>
        <v>132400.32000000001</v>
      </c>
      <c r="T51" s="48">
        <f t="shared" si="24"/>
        <v>136372.32960000003</v>
      </c>
      <c r="U51" s="48">
        <f t="shared" si="24"/>
        <v>140463.49948800003</v>
      </c>
      <c r="V51" s="48">
        <f t="shared" si="24"/>
        <v>144677.40447264002</v>
      </c>
      <c r="W51" s="48">
        <f t="shared" si="24"/>
        <v>149017.72660681923</v>
      </c>
      <c r="X51" s="48" t="str">
        <f t="shared" si="24"/>
        <v/>
      </c>
      <c r="Y51" s="48" t="str">
        <f t="shared" si="24"/>
        <v/>
      </c>
      <c r="Z51" s="48" t="str">
        <f t="shared" si="24"/>
        <v/>
      </c>
      <c r="AA51" s="79" t="str">
        <f t="shared" si="24"/>
        <v/>
      </c>
      <c r="AB51" s="127"/>
      <c r="AC51" s="122"/>
      <c r="AD51" s="6"/>
      <c r="AE51" s="35"/>
      <c r="AF51" s="96"/>
      <c r="AG51" s="97">
        <f>P34</f>
        <v>0.10578947747199319</v>
      </c>
      <c r="AH51" s="98">
        <f>P35</f>
        <v>1.7024268110951539</v>
      </c>
      <c r="AI51" s="163">
        <f>P36</f>
        <v>7234996.1542800842</v>
      </c>
      <c r="AJ51" s="99">
        <f>P37</f>
        <v>5.1780228818588903</v>
      </c>
      <c r="AK51" s="20"/>
      <c r="AL51" s="20"/>
      <c r="AM51" s="20"/>
      <c r="AN51" s="20"/>
      <c r="AO51" s="20"/>
      <c r="AP51" s="20"/>
      <c r="AQ51" s="20"/>
      <c r="AR51" s="127"/>
    </row>
    <row r="52" spans="2:44" x14ac:dyDescent="0.25">
      <c r="B52" s="6"/>
      <c r="C52" s="1"/>
      <c r="D52" s="1"/>
      <c r="E52" s="1"/>
      <c r="F52" s="133"/>
      <c r="G52" s="201"/>
      <c r="H52" s="133"/>
      <c r="I52" s="133"/>
      <c r="J52" s="133"/>
      <c r="K52" s="20"/>
      <c r="L52" s="186"/>
      <c r="M52" s="20"/>
      <c r="N52" s="155"/>
      <c r="O52" s="67" t="s">
        <v>9</v>
      </c>
      <c r="P52" s="19"/>
      <c r="Q52" s="65">
        <f>Q47-SUM(Q48:Q51)</f>
        <v>733400</v>
      </c>
      <c r="R52" s="65">
        <f t="shared" ref="R52:AA52" si="25">IF(Q12&gt;$E$19,"",R47-SUM(R48:R51))</f>
        <v>705402</v>
      </c>
      <c r="S52" s="65">
        <f t="shared" si="25"/>
        <v>728064.05999999982</v>
      </c>
      <c r="T52" s="65">
        <f t="shared" si="25"/>
        <v>801405.98179999995</v>
      </c>
      <c r="U52" s="65">
        <f t="shared" si="25"/>
        <v>825448.16125400004</v>
      </c>
      <c r="V52" s="65">
        <f t="shared" si="25"/>
        <v>850211.60609162017</v>
      </c>
      <c r="W52" s="65">
        <f t="shared" si="25"/>
        <v>875717.95427436871</v>
      </c>
      <c r="X52" s="65" t="str">
        <f t="shared" si="25"/>
        <v/>
      </c>
      <c r="Y52" s="65" t="str">
        <f t="shared" si="25"/>
        <v/>
      </c>
      <c r="Z52" s="65" t="str">
        <f t="shared" si="25"/>
        <v/>
      </c>
      <c r="AA52" s="80" t="str">
        <f t="shared" si="25"/>
        <v/>
      </c>
      <c r="AB52" s="127"/>
      <c r="AC52" s="122"/>
      <c r="AD52" s="6"/>
      <c r="AE52" s="438" t="s">
        <v>53</v>
      </c>
      <c r="AF52" s="100">
        <v>1</v>
      </c>
      <c r="AG52" s="85">
        <f t="dataTable" ref="AG52:AJ61" dt2D="0" dtr="0" r1="E19" ca="1"/>
        <v>9.2734787154592935E-2</v>
      </c>
      <c r="AH52" s="86">
        <v>1.0927347871545929</v>
      </c>
      <c r="AI52" s="164">
        <v>955168.30769230798</v>
      </c>
      <c r="AJ52" s="87">
        <v>1</v>
      </c>
      <c r="AK52" s="20"/>
      <c r="AL52" s="20"/>
      <c r="AM52" s="20"/>
      <c r="AN52" s="20"/>
      <c r="AO52" s="20"/>
      <c r="AP52" s="20"/>
      <c r="AQ52" s="20"/>
      <c r="AR52" s="127"/>
    </row>
    <row r="53" spans="2:44" x14ac:dyDescent="0.25">
      <c r="B53" s="6"/>
      <c r="C53" s="1"/>
      <c r="D53" s="1"/>
      <c r="E53" s="1"/>
      <c r="F53" s="138"/>
      <c r="G53" s="202"/>
      <c r="H53" s="138"/>
      <c r="I53" s="138"/>
      <c r="J53" s="138"/>
      <c r="K53" s="20"/>
      <c r="L53" s="186"/>
      <c r="M53" s="20"/>
      <c r="N53" s="155"/>
      <c r="O53" s="157" t="s">
        <v>89</v>
      </c>
      <c r="P53" s="19"/>
      <c r="Q53" s="19" t="str">
        <f t="shared" ref="Q53:AA53" si="26">IF(Q23=0,"",Q23)</f>
        <v/>
      </c>
      <c r="R53" s="19" t="str">
        <f t="shared" si="26"/>
        <v/>
      </c>
      <c r="S53" s="19" t="str">
        <f t="shared" si="26"/>
        <v/>
      </c>
      <c r="T53" s="19">
        <f t="shared" si="26"/>
        <v>30000</v>
      </c>
      <c r="U53" s="19" t="str">
        <f t="shared" si="26"/>
        <v/>
      </c>
      <c r="V53" s="19" t="str">
        <f t="shared" si="26"/>
        <v/>
      </c>
      <c r="W53" s="19" t="str">
        <f t="shared" si="26"/>
        <v/>
      </c>
      <c r="X53" s="19" t="str">
        <f t="shared" si="26"/>
        <v/>
      </c>
      <c r="Y53" s="19" t="str">
        <f t="shared" si="26"/>
        <v/>
      </c>
      <c r="Z53" s="19" t="str">
        <f t="shared" si="26"/>
        <v/>
      </c>
      <c r="AA53" s="78" t="str">
        <f t="shared" si="26"/>
        <v/>
      </c>
      <c r="AB53" s="127"/>
      <c r="AC53" s="122"/>
      <c r="AD53" s="6"/>
      <c r="AE53" s="438"/>
      <c r="AF53" s="100">
        <v>2</v>
      </c>
      <c r="AG53" s="88">
        <v>9.5588443865662676E-2</v>
      </c>
      <c r="AH53" s="89">
        <v>1.1935541720687077</v>
      </c>
      <c r="AI53" s="165">
        <v>1993607.9723076895</v>
      </c>
      <c r="AJ53" s="90">
        <v>1.9354516314972989</v>
      </c>
      <c r="AK53" s="20"/>
      <c r="AL53" s="20"/>
      <c r="AM53" s="20"/>
      <c r="AN53" s="20"/>
      <c r="AO53" s="20"/>
      <c r="AP53" s="20"/>
      <c r="AQ53" s="20"/>
      <c r="AR53" s="127"/>
    </row>
    <row r="54" spans="2:44" x14ac:dyDescent="0.25">
      <c r="B54" s="6"/>
      <c r="C54" s="1"/>
      <c r="D54" s="1"/>
      <c r="E54" s="1"/>
      <c r="F54" s="82"/>
      <c r="G54" s="203"/>
      <c r="H54" s="82"/>
      <c r="I54" s="82"/>
      <c r="J54" s="82"/>
      <c r="K54" s="20"/>
      <c r="L54" s="186"/>
      <c r="M54" s="20"/>
      <c r="N54" s="155"/>
      <c r="O54" s="157" t="s">
        <v>90</v>
      </c>
      <c r="P54" s="19"/>
      <c r="Q54" s="19" t="str">
        <f t="shared" ref="Q54:AA54" si="27">IF(Q24=0,"",Q24)</f>
        <v/>
      </c>
      <c r="R54" s="19" t="str">
        <f t="shared" si="27"/>
        <v/>
      </c>
      <c r="S54" s="19" t="str">
        <f t="shared" si="27"/>
        <v/>
      </c>
      <c r="T54" s="19">
        <f t="shared" si="27"/>
        <v>15000</v>
      </c>
      <c r="U54" s="19" t="str">
        <f t="shared" si="27"/>
        <v/>
      </c>
      <c r="V54" s="19" t="str">
        <f t="shared" si="27"/>
        <v/>
      </c>
      <c r="W54" s="19" t="str">
        <f t="shared" si="27"/>
        <v/>
      </c>
      <c r="X54" s="19" t="str">
        <f t="shared" si="27"/>
        <v/>
      </c>
      <c r="Y54" s="19" t="str">
        <f t="shared" si="27"/>
        <v/>
      </c>
      <c r="Z54" s="19" t="str">
        <f t="shared" si="27"/>
        <v/>
      </c>
      <c r="AA54" s="78" t="str">
        <f t="shared" si="27"/>
        <v/>
      </c>
      <c r="AB54" s="127"/>
      <c r="AC54" s="122"/>
      <c r="AD54" s="6"/>
      <c r="AE54" s="438"/>
      <c r="AF54" s="100">
        <v>3</v>
      </c>
      <c r="AG54" s="88">
        <v>0.11474312218820537</v>
      </c>
      <c r="AH54" s="89">
        <v>1.3602771527199402</v>
      </c>
      <c r="AI54" s="165">
        <v>3710854.673015384</v>
      </c>
      <c r="AJ54" s="90">
        <v>2.8184114349762845</v>
      </c>
      <c r="AK54" s="20"/>
      <c r="AL54" s="20"/>
      <c r="AM54" s="20"/>
      <c r="AN54" s="20"/>
      <c r="AO54" s="20"/>
      <c r="AP54" s="20"/>
      <c r="AQ54" s="20"/>
      <c r="AR54" s="127"/>
    </row>
    <row r="55" spans="2:44" x14ac:dyDescent="0.25">
      <c r="B55" s="6"/>
      <c r="C55" s="1"/>
      <c r="D55" s="1"/>
      <c r="E55" s="1"/>
      <c r="F55" s="133"/>
      <c r="G55" s="201"/>
      <c r="H55" s="133"/>
      <c r="I55" s="133"/>
      <c r="J55" s="133"/>
      <c r="K55" s="20"/>
      <c r="L55" s="186"/>
      <c r="M55" s="20"/>
      <c r="N55" s="155">
        <f>N25</f>
        <v>0.03</v>
      </c>
      <c r="O55" s="2" t="s">
        <v>15</v>
      </c>
      <c r="P55" s="20"/>
      <c r="Q55" s="19">
        <f>Q25</f>
        <v>5000</v>
      </c>
      <c r="R55" s="19">
        <f t="shared" ref="R55:Z55" si="28">IF(Q12&gt;$E$19,"",R25)</f>
        <v>5150</v>
      </c>
      <c r="S55" s="19">
        <f t="shared" si="28"/>
        <v>5304.5</v>
      </c>
      <c r="T55" s="19">
        <f t="shared" si="28"/>
        <v>5463.6350000000002</v>
      </c>
      <c r="U55" s="19">
        <f t="shared" si="28"/>
        <v>5627.5440500000004</v>
      </c>
      <c r="V55" s="19">
        <f t="shared" si="28"/>
        <v>5796.3703715000001</v>
      </c>
      <c r="W55" s="19" t="str">
        <f t="shared" si="28"/>
        <v/>
      </c>
      <c r="X55" s="19" t="str">
        <f t="shared" si="28"/>
        <v/>
      </c>
      <c r="Y55" s="19" t="str">
        <f t="shared" si="28"/>
        <v/>
      </c>
      <c r="Z55" s="19" t="str">
        <f t="shared" si="28"/>
        <v/>
      </c>
      <c r="AA55" s="78"/>
      <c r="AB55" s="127"/>
      <c r="AC55" s="122"/>
      <c r="AD55" s="6"/>
      <c r="AE55" s="438"/>
      <c r="AF55" s="100">
        <v>4</v>
      </c>
      <c r="AG55" s="88">
        <v>0.10967483989154903</v>
      </c>
      <c r="AH55" s="89">
        <v>1.46801750613649</v>
      </c>
      <c r="AI55" s="165">
        <v>4820580.3132058466</v>
      </c>
      <c r="AJ55" s="90">
        <v>3.6541428110617362</v>
      </c>
      <c r="AK55" s="20"/>
      <c r="AL55" s="20"/>
      <c r="AM55" s="20"/>
      <c r="AN55" s="20"/>
      <c r="AO55" s="20"/>
      <c r="AP55" s="20"/>
      <c r="AQ55" s="20"/>
      <c r="AR55" s="127"/>
    </row>
    <row r="56" spans="2:44" x14ac:dyDescent="0.25">
      <c r="B56" s="6"/>
      <c r="C56" s="1"/>
      <c r="D56" s="1"/>
      <c r="E56" s="1"/>
      <c r="F56" s="134"/>
      <c r="G56" s="204"/>
      <c r="H56" s="134"/>
      <c r="I56" s="134"/>
      <c r="J56" s="134"/>
      <c r="K56" s="20"/>
      <c r="L56" s="186"/>
      <c r="M56" s="20"/>
      <c r="N56" s="5"/>
      <c r="O56" s="4" t="s">
        <v>192</v>
      </c>
      <c r="P56" s="48" t="str">
        <f>IF(P41=$E$31,-$E$30*$E$33,"")</f>
        <v/>
      </c>
      <c r="Q56" s="48" t="str">
        <f t="shared" ref="Q56:R56" si="29">IF(Q41=$E$31,IF($E$32="yes",$E$30*(1-$E$33),$E$30),"")</f>
        <v/>
      </c>
      <c r="R56" s="48" t="str">
        <f t="shared" si="29"/>
        <v/>
      </c>
      <c r="S56" s="48">
        <f>IF(S41=$E$31,IF($E$32="yes",$E$30*(1-$E$33),$E$30),"")</f>
        <v>50000</v>
      </c>
      <c r="T56" s="48" t="str">
        <f t="shared" ref="T56:Z56" si="30">IF(T41=$E$31,IF($E$32="yes",$E$30*(1-$E$33),$E$30),"")</f>
        <v/>
      </c>
      <c r="U56" s="48" t="str">
        <f t="shared" si="30"/>
        <v/>
      </c>
      <c r="V56" s="48" t="str">
        <f t="shared" si="30"/>
        <v/>
      </c>
      <c r="W56" s="48" t="str">
        <f t="shared" si="30"/>
        <v/>
      </c>
      <c r="X56" s="48" t="str">
        <f t="shared" si="30"/>
        <v/>
      </c>
      <c r="Y56" s="48" t="str">
        <f t="shared" si="30"/>
        <v/>
      </c>
      <c r="Z56" s="48" t="str">
        <f t="shared" si="30"/>
        <v/>
      </c>
      <c r="AA56" s="79"/>
      <c r="AB56" s="127"/>
      <c r="AC56" s="122"/>
      <c r="AD56" s="6"/>
      <c r="AE56" s="438"/>
      <c r="AF56" s="100">
        <v>5</v>
      </c>
      <c r="AG56" s="88">
        <v>0.10733501799888079</v>
      </c>
      <c r="AH56" s="89">
        <v>1.5834900701555361</v>
      </c>
      <c r="AI56" s="165">
        <v>6009947.7226020228</v>
      </c>
      <c r="AJ56" s="90">
        <v>4.4406629467663388</v>
      </c>
      <c r="AK56" s="20"/>
      <c r="AL56" s="20"/>
      <c r="AM56" s="20"/>
      <c r="AN56" s="20"/>
      <c r="AO56" s="20"/>
      <c r="AP56" s="20"/>
      <c r="AQ56" s="20"/>
      <c r="AR56" s="127"/>
    </row>
    <row r="57" spans="2:44" x14ac:dyDescent="0.25">
      <c r="B57" s="6"/>
      <c r="C57" s="1"/>
      <c r="D57" s="1"/>
      <c r="E57" s="1"/>
      <c r="F57" s="24"/>
      <c r="G57" s="200"/>
      <c r="H57" s="24"/>
      <c r="I57" s="24"/>
      <c r="J57" s="24"/>
      <c r="K57" s="20"/>
      <c r="L57" s="186"/>
      <c r="M57" s="20"/>
      <c r="N57" s="5"/>
      <c r="O57" s="67" t="s">
        <v>16</v>
      </c>
      <c r="P57" s="20"/>
      <c r="Q57" s="19">
        <f t="shared" ref="Q57:Z57" si="31">IF(Q41&gt;$E$19,"",IF(P12&gt;$E$19,"",Q52-SUM(Q53:Q56)))</f>
        <v>728400</v>
      </c>
      <c r="R57" s="19">
        <f t="shared" si="31"/>
        <v>700252</v>
      </c>
      <c r="S57" s="19">
        <f t="shared" si="31"/>
        <v>672759.55999999982</v>
      </c>
      <c r="T57" s="19">
        <f t="shared" si="31"/>
        <v>750942.34679999994</v>
      </c>
      <c r="U57" s="19">
        <f t="shared" si="31"/>
        <v>819820.61720400001</v>
      </c>
      <c r="V57" s="19">
        <f t="shared" si="31"/>
        <v>844415.23572012014</v>
      </c>
      <c r="W57" s="19" t="str">
        <f t="shared" si="31"/>
        <v/>
      </c>
      <c r="X57" s="19" t="str">
        <f t="shared" si="31"/>
        <v/>
      </c>
      <c r="Y57" s="19" t="str">
        <f t="shared" si="31"/>
        <v/>
      </c>
      <c r="Z57" s="19" t="str">
        <f t="shared" si="31"/>
        <v/>
      </c>
      <c r="AA57" s="78"/>
      <c r="AB57" s="127"/>
      <c r="AC57" s="122"/>
      <c r="AD57" s="6"/>
      <c r="AE57" s="438"/>
      <c r="AF57" s="100">
        <v>6</v>
      </c>
      <c r="AG57" s="88">
        <v>0.10578947747199319</v>
      </c>
      <c r="AH57" s="89">
        <v>1.7024268110951539</v>
      </c>
      <c r="AI57" s="165">
        <v>7234996.1542800842</v>
      </c>
      <c r="AJ57" s="90">
        <v>5.1780228818588903</v>
      </c>
      <c r="AK57" s="20"/>
      <c r="AL57" s="20"/>
      <c r="AM57" s="20"/>
      <c r="AN57" s="20"/>
      <c r="AO57" s="20"/>
      <c r="AP57" s="20"/>
      <c r="AQ57" s="20"/>
      <c r="AR57" s="127"/>
    </row>
    <row r="58" spans="2:44" x14ac:dyDescent="0.25">
      <c r="B58" s="6"/>
      <c r="C58" s="1"/>
      <c r="D58" s="1"/>
      <c r="E58" s="1"/>
      <c r="F58" s="135"/>
      <c r="G58" s="205"/>
      <c r="H58" s="135"/>
      <c r="I58" s="135"/>
      <c r="J58" s="135"/>
      <c r="K58" s="20"/>
      <c r="L58" s="186"/>
      <c r="M58" s="20"/>
      <c r="N58" s="5"/>
      <c r="O58" s="4" t="s">
        <v>23</v>
      </c>
      <c r="P58" s="21"/>
      <c r="Q58" s="48">
        <f>INDEX(AmortSched!$F$13:$F$372,MATCH(Model!Q41,AmortSched!$C$13:$C$372,0),)*12</f>
        <v>372383.93046305841</v>
      </c>
      <c r="R58" s="48">
        <f>IF(R41&gt;$E$19,"",INDEX(AmortSched!$F$13:$F$372,MATCH(Model!R41,AmortSched!$C$13:$C$372,0),)*12)</f>
        <v>372383.93046305841</v>
      </c>
      <c r="S58" s="48">
        <f>IF(S41&gt;$E$19,"",INDEX(AmortSched!$F$13:$F$372,MATCH(Model!S41,AmortSched!$C$13:$C$372,0),)*12)</f>
        <v>375355.20448197605</v>
      </c>
      <c r="T58" s="48">
        <f>IF(T41&gt;$E$19,"",INDEX(AmortSched!$F$13:$F$372,MATCH(Model!T41,AmortSched!$C$13:$C$372,0),)*12)</f>
        <v>375355.20448197605</v>
      </c>
      <c r="U58" s="48">
        <f>IF(U41&gt;$E$19,"",INDEX(AmortSched!$F$13:$F$372,MATCH(Model!U41,AmortSched!$C$13:$C$372,0),)*12)</f>
        <v>375355.20448197605</v>
      </c>
      <c r="V58" s="48">
        <f>IF(V41&gt;$E$19,"",INDEX(AmortSched!$F$13:$F$372,MATCH(Model!V41,AmortSched!$C$13:$C$372,0),)*12)</f>
        <v>375355.20448197605</v>
      </c>
      <c r="W58" s="48" t="str">
        <f>IF(W41&gt;$E$19,"",INDEX(AmortSched!$F$13:$F$372,MATCH(Model!W41,AmortSched!$C$13:$C$372,0),)*12)</f>
        <v/>
      </c>
      <c r="X58" s="48" t="str">
        <f>IF(X41&gt;$E$19,"",INDEX(AmortSched!$F$13:$F$372,MATCH(Model!X41,AmortSched!$C$13:$C$372,0),)*12)</f>
        <v/>
      </c>
      <c r="Y58" s="48" t="str">
        <f>IF(Y41&gt;$E$19,"",INDEX(AmortSched!$F$13:$F$372,MATCH(Model!Y41,AmortSched!$C$13:$C$372,0),)*12)</f>
        <v/>
      </c>
      <c r="Z58" s="48" t="str">
        <f>IF(Z41&gt;$E$19,"",INDEX(AmortSched!$F$13:$F$372,MATCH(Model!Z41,AmortSched!$C$13:$C$372,0),)*12)</f>
        <v/>
      </c>
      <c r="AA58" s="79"/>
      <c r="AB58" s="127"/>
      <c r="AC58" s="122"/>
      <c r="AD58" s="6"/>
      <c r="AE58" s="438"/>
      <c r="AF58" s="100">
        <v>7</v>
      </c>
      <c r="AG58" s="88">
        <v>0.10469440793328189</v>
      </c>
      <c r="AH58" s="89">
        <v>1.8249316542629601</v>
      </c>
      <c r="AI58" s="165">
        <v>8496796.038908489</v>
      </c>
      <c r="AJ58" s="90">
        <v>5.8692181590747641</v>
      </c>
      <c r="AK58" s="20"/>
      <c r="AL58" s="20"/>
      <c r="AM58" s="20"/>
      <c r="AN58" s="20"/>
      <c r="AO58" s="20"/>
      <c r="AP58" s="20"/>
      <c r="AQ58" s="20"/>
      <c r="AR58" s="127"/>
    </row>
    <row r="59" spans="2:44" x14ac:dyDescent="0.25">
      <c r="B59" s="6"/>
      <c r="C59" s="1"/>
      <c r="D59" s="1"/>
      <c r="E59" s="1"/>
      <c r="F59" s="138"/>
      <c r="G59" s="202"/>
      <c r="H59" s="138"/>
      <c r="I59" s="138"/>
      <c r="J59" s="138"/>
      <c r="K59" s="20"/>
      <c r="L59" s="186"/>
      <c r="M59" s="20"/>
      <c r="N59" s="5"/>
      <c r="O59" s="67" t="s">
        <v>24</v>
      </c>
      <c r="P59" s="65"/>
      <c r="Q59" s="65">
        <f>Q57-Q58</f>
        <v>356016.06953694159</v>
      </c>
      <c r="R59" s="65">
        <f t="shared" ref="R59:Z59" si="32">IF(R41&gt;$E$19,"",R57-R58)</f>
        <v>327868.06953694159</v>
      </c>
      <c r="S59" s="65">
        <f t="shared" si="32"/>
        <v>297404.35551802377</v>
      </c>
      <c r="T59" s="65">
        <f t="shared" si="32"/>
        <v>375587.14231802389</v>
      </c>
      <c r="U59" s="65">
        <f t="shared" si="32"/>
        <v>444465.41272202396</v>
      </c>
      <c r="V59" s="65">
        <f t="shared" si="32"/>
        <v>469060.03123814409</v>
      </c>
      <c r="W59" s="65" t="str">
        <f t="shared" si="32"/>
        <v/>
      </c>
      <c r="X59" s="65" t="str">
        <f t="shared" si="32"/>
        <v/>
      </c>
      <c r="Y59" s="65" t="str">
        <f t="shared" si="32"/>
        <v/>
      </c>
      <c r="Z59" s="65" t="str">
        <f t="shared" si="32"/>
        <v/>
      </c>
      <c r="AA59" s="80"/>
      <c r="AB59" s="127"/>
      <c r="AC59" s="122"/>
      <c r="AD59" s="6"/>
      <c r="AE59" s="438"/>
      <c r="AF59" s="100">
        <v>8</v>
      </c>
      <c r="AG59" s="88">
        <v>0.10387938755453918</v>
      </c>
      <c r="AH59" s="89">
        <v>1.9511116427258</v>
      </c>
      <c r="AI59" s="165">
        <v>9796449.9200757407</v>
      </c>
      <c r="AJ59" s="90">
        <v>6.5170825462418129</v>
      </c>
      <c r="AK59" s="20"/>
      <c r="AL59" s="20"/>
      <c r="AM59" s="20"/>
      <c r="AN59" s="20"/>
      <c r="AO59" s="20"/>
      <c r="AP59" s="20"/>
      <c r="AQ59" s="20"/>
      <c r="AR59" s="127"/>
    </row>
    <row r="60" spans="2:44" x14ac:dyDescent="0.25">
      <c r="B60" s="6"/>
      <c r="C60" s="1"/>
      <c r="D60" s="1"/>
      <c r="E60" s="1"/>
      <c r="F60" s="144"/>
      <c r="G60" s="206"/>
      <c r="H60" s="144"/>
      <c r="I60" s="144"/>
      <c r="J60" s="144"/>
      <c r="K60" s="20"/>
      <c r="L60" s="186"/>
      <c r="M60" s="20"/>
      <c r="N60" s="5"/>
      <c r="O60" s="2"/>
      <c r="P60" s="20"/>
      <c r="Q60" s="19"/>
      <c r="R60" s="19"/>
      <c r="S60" s="19"/>
      <c r="T60" s="19"/>
      <c r="U60" s="19"/>
      <c r="V60" s="19"/>
      <c r="W60" s="19"/>
      <c r="X60" s="19"/>
      <c r="Y60" s="19"/>
      <c r="Z60" s="19"/>
      <c r="AA60" s="78"/>
      <c r="AB60" s="127"/>
      <c r="AC60" s="122"/>
      <c r="AD60" s="6"/>
      <c r="AE60" s="438"/>
      <c r="AF60" s="100">
        <v>9</v>
      </c>
      <c r="AG60" s="88">
        <v>0.10325032022475122</v>
      </c>
      <c r="AH60" s="89">
        <v>2.0810770308425255</v>
      </c>
      <c r="AI60" s="165">
        <v>11135093.417678012</v>
      </c>
      <c r="AJ60" s="90">
        <v>7.1242860285664307</v>
      </c>
      <c r="AK60" s="20"/>
      <c r="AL60" s="20"/>
      <c r="AM60" s="20"/>
      <c r="AN60" s="20"/>
      <c r="AO60" s="20"/>
      <c r="AP60" s="20"/>
      <c r="AQ60" s="20"/>
      <c r="AR60" s="127"/>
    </row>
    <row r="61" spans="2:44" x14ac:dyDescent="0.25">
      <c r="B61" s="6"/>
      <c r="C61" s="20"/>
      <c r="D61" s="20"/>
      <c r="E61" s="20"/>
      <c r="F61" s="138"/>
      <c r="G61" s="202"/>
      <c r="H61" s="138"/>
      <c r="I61" s="138"/>
      <c r="J61" s="138"/>
      <c r="K61" s="20"/>
      <c r="L61" s="186"/>
      <c r="M61" s="20"/>
      <c r="N61" s="5"/>
      <c r="O61" s="2" t="s">
        <v>10</v>
      </c>
      <c r="P61" s="20"/>
      <c r="Q61" s="19" t="str">
        <f t="shared" ref="Q61:Z61" si="33">IF($E$19=Q41,R52/$E$34,"")</f>
        <v/>
      </c>
      <c r="R61" s="19" t="str">
        <f t="shared" si="33"/>
        <v/>
      </c>
      <c r="S61" s="19" t="str">
        <f t="shared" si="33"/>
        <v/>
      </c>
      <c r="T61" s="19" t="str">
        <f t="shared" si="33"/>
        <v/>
      </c>
      <c r="U61" s="19" t="str">
        <f t="shared" si="33"/>
        <v/>
      </c>
      <c r="V61" s="19">
        <f t="shared" si="33"/>
        <v>13472583.911913365</v>
      </c>
      <c r="W61" s="19" t="str">
        <f t="shared" si="33"/>
        <v/>
      </c>
      <c r="X61" s="19" t="str">
        <f t="shared" si="33"/>
        <v/>
      </c>
      <c r="Y61" s="19" t="str">
        <f t="shared" si="33"/>
        <v/>
      </c>
      <c r="Z61" s="19" t="str">
        <f t="shared" si="33"/>
        <v/>
      </c>
      <c r="AA61" s="78"/>
      <c r="AB61" s="127"/>
      <c r="AC61" s="122"/>
      <c r="AD61" s="6"/>
      <c r="AE61" s="439"/>
      <c r="AF61" s="101">
        <v>10</v>
      </c>
      <c r="AG61" s="91">
        <v>0.10275100869969456</v>
      </c>
      <c r="AH61" s="92">
        <v>2.2149413806027529</v>
      </c>
      <c r="AI61" s="166">
        <v>12513896.220208354</v>
      </c>
      <c r="AJ61" s="93">
        <v>7.6933400520775557</v>
      </c>
      <c r="AK61" s="20"/>
      <c r="AL61" s="20"/>
      <c r="AM61" s="20"/>
      <c r="AN61" s="20"/>
      <c r="AO61" s="20"/>
      <c r="AP61" s="20"/>
      <c r="AQ61" s="20"/>
      <c r="AR61" s="127"/>
    </row>
    <row r="62" spans="2:44" x14ac:dyDescent="0.25">
      <c r="B62" s="6"/>
      <c r="C62" s="20"/>
      <c r="D62" s="20"/>
      <c r="E62" s="20"/>
      <c r="F62" s="20"/>
      <c r="G62" s="186"/>
      <c r="H62" s="20"/>
      <c r="I62" s="20"/>
      <c r="J62" s="20"/>
      <c r="K62" s="20"/>
      <c r="L62" s="186"/>
      <c r="M62" s="20"/>
      <c r="N62" s="5"/>
      <c r="O62" s="2" t="s">
        <v>11</v>
      </c>
      <c r="P62" s="20"/>
      <c r="Q62" s="19" t="str">
        <f t="shared" ref="Q62:Z62" si="34">IF($E$19=Q41,Q61*$E$35,"")</f>
        <v/>
      </c>
      <c r="R62" s="19" t="str">
        <f t="shared" si="34"/>
        <v/>
      </c>
      <c r="S62" s="19" t="str">
        <f t="shared" si="34"/>
        <v/>
      </c>
      <c r="T62" s="19" t="str">
        <f t="shared" si="34"/>
        <v/>
      </c>
      <c r="U62" s="19" t="str">
        <f t="shared" si="34"/>
        <v/>
      </c>
      <c r="V62" s="19">
        <f t="shared" si="34"/>
        <v>404177.51735740097</v>
      </c>
      <c r="W62" s="19" t="str">
        <f t="shared" si="34"/>
        <v/>
      </c>
      <c r="X62" s="19" t="str">
        <f t="shared" si="34"/>
        <v/>
      </c>
      <c r="Y62" s="19" t="str">
        <f t="shared" si="34"/>
        <v/>
      </c>
      <c r="Z62" s="19" t="str">
        <f t="shared" si="34"/>
        <v/>
      </c>
      <c r="AA62" s="78"/>
      <c r="AB62" s="127"/>
      <c r="AC62" s="122"/>
      <c r="AD62" s="6"/>
      <c r="AE62" s="20"/>
      <c r="AF62" s="20"/>
      <c r="AG62" s="20"/>
      <c r="AH62" s="20"/>
      <c r="AI62" s="20"/>
      <c r="AJ62" s="20"/>
      <c r="AK62" s="20"/>
      <c r="AL62" s="20"/>
      <c r="AM62" s="20"/>
      <c r="AN62" s="20"/>
      <c r="AO62" s="20"/>
      <c r="AP62" s="20"/>
      <c r="AQ62" s="20"/>
      <c r="AR62" s="127"/>
    </row>
    <row r="63" spans="2:44" x14ac:dyDescent="0.25">
      <c r="B63" s="6"/>
      <c r="C63" s="20"/>
      <c r="D63" s="20"/>
      <c r="E63" s="20"/>
      <c r="F63" s="20"/>
      <c r="G63" s="186"/>
      <c r="H63" s="20"/>
      <c r="I63" s="20"/>
      <c r="J63" s="20"/>
      <c r="K63" s="20"/>
      <c r="L63" s="186"/>
      <c r="M63" s="20"/>
      <c r="N63" s="5"/>
      <c r="O63" s="2" t="s">
        <v>25</v>
      </c>
      <c r="P63" s="20"/>
      <c r="Q63" s="72" t="str">
        <f ca="1">IF($E$19=Q41,OFFSET(AmortSched!$C$13,$E$19*12-1,6),"")</f>
        <v/>
      </c>
      <c r="R63" s="72" t="str">
        <f ca="1">IF($E$19=R41,OFFSET(AmortSched!$C$13,$E$19*12-1,6),"")</f>
        <v/>
      </c>
      <c r="S63" s="72" t="str">
        <f ca="1">IF($E$19=S41,OFFSET(AmortSched!$C$13,$E$19*12-1,6),"")</f>
        <v/>
      </c>
      <c r="T63" s="72" t="str">
        <f ca="1">IF($E$19=T41,OFFSET(AmortSched!$C$13,$E$19*12-1,6),"")</f>
        <v/>
      </c>
      <c r="U63" s="72" t="str">
        <f ca="1">IF($E$19=U41,OFFSET(AmortSched!$C$13,$E$19*12-1,6),"")</f>
        <v/>
      </c>
      <c r="V63" s="72">
        <f ca="1">IF($E$19=V41,OFFSET(AmortSched!$C$13,$E$19*12-1,6),"")</f>
        <v>5785118.502996875</v>
      </c>
      <c r="W63" s="72" t="str">
        <f ca="1">IF($E$19=W41,OFFSET(AmortSched!$C$13,$E$19*12-1,6),"")</f>
        <v/>
      </c>
      <c r="X63" s="72" t="str">
        <f ca="1">IF($E$19=X41,OFFSET(AmortSched!$C$13,$E$19*12-1,6),"")</f>
        <v/>
      </c>
      <c r="Y63" s="72" t="str">
        <f ca="1">IF($E$19=Y41,OFFSET(AmortSched!$C$13,$E$19*12-1,6),"")</f>
        <v/>
      </c>
      <c r="Z63" s="72" t="str">
        <f ca="1">IF($E$19=Z41,OFFSET(AmortSched!$C$13,$E$19*12-1,6),"")</f>
        <v/>
      </c>
      <c r="AA63" s="119"/>
      <c r="AB63" s="127"/>
      <c r="AC63" s="122"/>
      <c r="AD63" s="6"/>
      <c r="AE63" s="442" t="s">
        <v>26</v>
      </c>
      <c r="AF63" s="443"/>
      <c r="AG63" s="443"/>
      <c r="AH63" s="443"/>
      <c r="AI63" s="443"/>
      <c r="AJ63" s="444"/>
      <c r="AK63" s="20"/>
      <c r="AL63" s="20"/>
      <c r="AM63" s="20"/>
      <c r="AN63" s="20"/>
      <c r="AO63" s="20"/>
      <c r="AP63" s="20"/>
      <c r="AQ63" s="20"/>
      <c r="AR63" s="127"/>
    </row>
    <row r="64" spans="2:44" x14ac:dyDescent="0.25">
      <c r="B64" s="6"/>
      <c r="C64" s="20"/>
      <c r="D64" s="20"/>
      <c r="E64" s="20"/>
      <c r="F64" s="20"/>
      <c r="G64" s="186"/>
      <c r="H64" s="20"/>
      <c r="I64" s="20"/>
      <c r="J64" s="20"/>
      <c r="K64" s="20"/>
      <c r="L64" s="186"/>
      <c r="M64" s="20"/>
      <c r="N64" s="5"/>
      <c r="O64" s="2" t="s">
        <v>13</v>
      </c>
      <c r="P64" s="20"/>
      <c r="Q64" s="19" t="str">
        <f t="shared" ref="Q64:Z64" si="35">IF($E$19=Q41,Q61-Q62-Q63,"")</f>
        <v/>
      </c>
      <c r="R64" s="19" t="str">
        <f t="shared" si="35"/>
        <v/>
      </c>
      <c r="S64" s="19" t="str">
        <f t="shared" si="35"/>
        <v/>
      </c>
      <c r="T64" s="19" t="str">
        <f t="shared" si="35"/>
        <v/>
      </c>
      <c r="U64" s="19" t="str">
        <f t="shared" si="35"/>
        <v/>
      </c>
      <c r="V64" s="19">
        <f t="shared" ca="1" si="35"/>
        <v>7283287.8915590886</v>
      </c>
      <c r="W64" s="19" t="str">
        <f t="shared" si="35"/>
        <v/>
      </c>
      <c r="X64" s="19" t="str">
        <f t="shared" si="35"/>
        <v/>
      </c>
      <c r="Y64" s="19" t="str">
        <f t="shared" si="35"/>
        <v/>
      </c>
      <c r="Z64" s="19" t="str">
        <f t="shared" si="35"/>
        <v/>
      </c>
      <c r="AA64" s="78"/>
      <c r="AB64" s="127"/>
      <c r="AC64" s="122"/>
      <c r="AD64" s="6"/>
      <c r="AE64" s="94"/>
      <c r="AF64" s="95"/>
      <c r="AG64" s="61" t="s">
        <v>54</v>
      </c>
      <c r="AH64" s="61" t="s">
        <v>55</v>
      </c>
      <c r="AI64" s="61" t="s">
        <v>92</v>
      </c>
      <c r="AJ64" s="62" t="s">
        <v>56</v>
      </c>
      <c r="AK64" s="20"/>
      <c r="AL64" s="20"/>
      <c r="AM64" s="20"/>
      <c r="AN64" s="20"/>
      <c r="AO64" s="20"/>
      <c r="AP64" s="20"/>
      <c r="AQ64" s="20"/>
      <c r="AR64" s="127"/>
    </row>
    <row r="65" spans="2:44" x14ac:dyDescent="0.25">
      <c r="B65" s="6"/>
      <c r="C65" s="20"/>
      <c r="D65" s="20"/>
      <c r="E65" s="20"/>
      <c r="F65" s="20"/>
      <c r="G65" s="186"/>
      <c r="H65" s="20"/>
      <c r="I65" s="20"/>
      <c r="J65" s="20"/>
      <c r="K65" s="20"/>
      <c r="L65" s="186"/>
      <c r="M65" s="20"/>
      <c r="N65" s="5"/>
      <c r="O65" s="2"/>
      <c r="P65" s="20"/>
      <c r="Q65" s="19"/>
      <c r="R65" s="19"/>
      <c r="S65" s="19"/>
      <c r="T65" s="19"/>
      <c r="U65" s="19"/>
      <c r="V65" s="19"/>
      <c r="W65" s="19"/>
      <c r="X65" s="19"/>
      <c r="Y65" s="19"/>
      <c r="Z65" s="19"/>
      <c r="AA65" s="78"/>
      <c r="AB65" s="127"/>
      <c r="AC65" s="122"/>
      <c r="AD65" s="6"/>
      <c r="AE65" s="35"/>
      <c r="AF65" s="96"/>
      <c r="AG65" s="97">
        <f ca="1">P67</f>
        <v>0.18668933663393528</v>
      </c>
      <c r="AH65" s="98">
        <f ca="1">P68</f>
        <v>2.4718470821292127</v>
      </c>
      <c r="AI65" s="163">
        <f ca="1">P69</f>
        <v>5688688.9724292764</v>
      </c>
      <c r="AJ65" s="99">
        <f ca="1">P70</f>
        <v>5.0859310221045622</v>
      </c>
      <c r="AK65" s="20"/>
      <c r="AL65" s="20"/>
      <c r="AM65" s="20"/>
      <c r="AN65" s="20"/>
      <c r="AO65" s="20"/>
      <c r="AP65" s="20"/>
      <c r="AQ65" s="20"/>
      <c r="AR65" s="127"/>
    </row>
    <row r="66" spans="2:44" x14ac:dyDescent="0.25">
      <c r="B66" s="6"/>
      <c r="C66" s="20"/>
      <c r="D66" s="20"/>
      <c r="E66" s="20"/>
      <c r="F66" s="20"/>
      <c r="G66" s="186"/>
      <c r="H66" s="20"/>
      <c r="I66" s="20"/>
      <c r="J66" s="20"/>
      <c r="K66" s="20"/>
      <c r="L66" s="186"/>
      <c r="M66" s="20"/>
      <c r="N66" s="5"/>
      <c r="O66" s="67" t="s">
        <v>57</v>
      </c>
      <c r="P66" s="65">
        <f>IFERROR(P42+P43+P56,P42+P43)</f>
        <v>-3864999.9999999115</v>
      </c>
      <c r="Q66" s="65">
        <f t="shared" ref="Q66:Z66" si="36">IF($E$19&gt;=Q12,SUM(Q59,Q64),"")</f>
        <v>356016.06953694159</v>
      </c>
      <c r="R66" s="65">
        <f t="shared" si="36"/>
        <v>327868.06953694159</v>
      </c>
      <c r="S66" s="65">
        <f t="shared" si="36"/>
        <v>297404.35551802377</v>
      </c>
      <c r="T66" s="65">
        <f t="shared" si="36"/>
        <v>375587.14231802389</v>
      </c>
      <c r="U66" s="65">
        <f t="shared" si="36"/>
        <v>444465.41272202396</v>
      </c>
      <c r="V66" s="65">
        <f t="shared" ca="1" si="36"/>
        <v>7752347.9227972329</v>
      </c>
      <c r="W66" s="65" t="str">
        <f t="shared" si="36"/>
        <v/>
      </c>
      <c r="X66" s="65" t="str">
        <f t="shared" si="36"/>
        <v/>
      </c>
      <c r="Y66" s="65" t="str">
        <f t="shared" si="36"/>
        <v/>
      </c>
      <c r="Z66" s="65" t="str">
        <f t="shared" si="36"/>
        <v/>
      </c>
      <c r="AA66" s="80"/>
      <c r="AB66" s="127"/>
      <c r="AC66" s="122"/>
      <c r="AD66" s="6"/>
      <c r="AE66" s="438" t="s">
        <v>53</v>
      </c>
      <c r="AF66" s="100">
        <v>1</v>
      </c>
      <c r="AG66" s="85">
        <f t="dataTable" ref="AG66:AJ75" dt2D="0" dtr="0" r1="E19" ca="1"/>
        <v>0.16358389272722795</v>
      </c>
      <c r="AH66" s="86">
        <v>1.163583892727228</v>
      </c>
      <c r="AI66" s="164">
        <v>632251.7453907216</v>
      </c>
      <c r="AJ66" s="87">
        <v>1</v>
      </c>
      <c r="AK66" s="20"/>
      <c r="AL66" s="20"/>
      <c r="AM66" s="20"/>
      <c r="AN66" s="20"/>
      <c r="AO66" s="20"/>
      <c r="AP66" s="20"/>
      <c r="AQ66" s="20"/>
      <c r="AR66" s="127"/>
    </row>
    <row r="67" spans="2:44" x14ac:dyDescent="0.25">
      <c r="B67" s="6"/>
      <c r="C67" s="20"/>
      <c r="D67" s="20"/>
      <c r="E67" s="20"/>
      <c r="F67" s="20"/>
      <c r="G67" s="186"/>
      <c r="H67" s="20"/>
      <c r="I67" s="20"/>
      <c r="J67" s="20"/>
      <c r="K67" s="20"/>
      <c r="L67" s="186"/>
      <c r="M67" s="20"/>
      <c r="N67" s="5"/>
      <c r="O67" s="2" t="s">
        <v>54</v>
      </c>
      <c r="P67" s="23">
        <f ca="1">IRR(P66:Z66)</f>
        <v>0.18668933663393528</v>
      </c>
      <c r="Q67" s="19"/>
      <c r="R67" s="19"/>
      <c r="S67" s="19"/>
      <c r="T67" s="19"/>
      <c r="U67" s="19"/>
      <c r="V67" s="19"/>
      <c r="W67" s="19"/>
      <c r="X67" s="19"/>
      <c r="Y67" s="19"/>
      <c r="Z67" s="19"/>
      <c r="AA67" s="78"/>
      <c r="AB67" s="127"/>
      <c r="AC67" s="122"/>
      <c r="AD67" s="6"/>
      <c r="AE67" s="438"/>
      <c r="AF67" s="100">
        <v>2</v>
      </c>
      <c r="AG67" s="88">
        <v>0.17598798009546823</v>
      </c>
      <c r="AH67" s="89">
        <v>1.3667369792748574</v>
      </c>
      <c r="AI67" s="165">
        <v>1417438.4248972922</v>
      </c>
      <c r="AJ67" s="90">
        <v>1.9216719670651119</v>
      </c>
      <c r="AK67" s="20"/>
      <c r="AL67" s="20"/>
      <c r="AM67" s="20"/>
      <c r="AN67" s="20"/>
      <c r="AO67" s="20"/>
      <c r="AP67" s="20"/>
      <c r="AQ67" s="20"/>
      <c r="AR67" s="127"/>
    </row>
    <row r="68" spans="2:44" x14ac:dyDescent="0.25">
      <c r="B68" s="6"/>
      <c r="C68" s="20"/>
      <c r="D68" s="20"/>
      <c r="E68" s="137"/>
      <c r="F68" s="20"/>
      <c r="G68" s="186"/>
      <c r="H68" s="20"/>
      <c r="I68" s="20"/>
      <c r="J68" s="20"/>
      <c r="K68" s="20"/>
      <c r="L68" s="186"/>
      <c r="M68" s="20"/>
      <c r="N68" s="5"/>
      <c r="O68" s="2" t="s">
        <v>55</v>
      </c>
      <c r="P68" s="70">
        <f ca="1">SUMIF($P$66:$Z$66,"&gt;0")/-SUMIF(P66:Z66,"&lt;0")</f>
        <v>2.4718470821292127</v>
      </c>
      <c r="Q68" s="19"/>
      <c r="R68" s="19"/>
      <c r="S68" s="19"/>
      <c r="T68" s="19"/>
      <c r="U68" s="19"/>
      <c r="V68" s="19"/>
      <c r="W68" s="19"/>
      <c r="X68" s="19"/>
      <c r="Y68" s="19"/>
      <c r="Z68" s="19"/>
      <c r="AA68" s="78"/>
      <c r="AB68" s="127"/>
      <c r="AC68" s="122"/>
      <c r="AD68" s="6"/>
      <c r="AE68" s="438"/>
      <c r="AF68" s="100">
        <v>3</v>
      </c>
      <c r="AG68" s="88">
        <v>0.21857000721586717</v>
      </c>
      <c r="AH68" s="89">
        <v>1.7462622833256822</v>
      </c>
      <c r="AI68" s="165">
        <v>2884303.725053696</v>
      </c>
      <c r="AJ68" s="90">
        <v>2.791690212289577</v>
      </c>
      <c r="AK68" s="20"/>
      <c r="AL68" s="20"/>
      <c r="AM68" s="20"/>
      <c r="AN68" s="20"/>
      <c r="AO68" s="20"/>
      <c r="AP68" s="20"/>
      <c r="AQ68" s="20"/>
      <c r="AR68" s="127"/>
    </row>
    <row r="69" spans="2:44" x14ac:dyDescent="0.25">
      <c r="B69" s="6"/>
      <c r="C69" s="20"/>
      <c r="D69" s="20"/>
      <c r="E69" s="20"/>
      <c r="F69" s="137"/>
      <c r="G69" s="207"/>
      <c r="H69" s="137"/>
      <c r="I69" s="137"/>
      <c r="J69" s="137"/>
      <c r="K69" s="20"/>
      <c r="L69" s="186"/>
      <c r="M69" s="20"/>
      <c r="N69" s="5"/>
      <c r="O69" s="2" t="s">
        <v>91</v>
      </c>
      <c r="P69" s="65">
        <f ca="1">SUM(P66:Z66)</f>
        <v>5688688.9724292764</v>
      </c>
      <c r="Q69" s="19"/>
      <c r="R69" s="19"/>
      <c r="S69" s="19"/>
      <c r="T69" s="19"/>
      <c r="U69" s="19"/>
      <c r="V69" s="19"/>
      <c r="W69" s="19"/>
      <c r="X69" s="19"/>
      <c r="Y69" s="19"/>
      <c r="Z69" s="19"/>
      <c r="AA69" s="78"/>
      <c r="AB69" s="127"/>
      <c r="AC69" s="122"/>
      <c r="AD69" s="6"/>
      <c r="AE69" s="438"/>
      <c r="AF69" s="100">
        <v>4</v>
      </c>
      <c r="AG69" s="88">
        <v>0.20257288095208814</v>
      </c>
      <c r="AH69" s="89">
        <v>1.9699196870089646</v>
      </c>
      <c r="AI69" s="165">
        <v>3748739.5902895625</v>
      </c>
      <c r="AJ69" s="90">
        <v>3.6086497992729725</v>
      </c>
      <c r="AK69" s="20"/>
      <c r="AL69" s="20"/>
      <c r="AM69" s="20"/>
      <c r="AN69" s="20"/>
      <c r="AO69" s="20"/>
      <c r="AP69" s="20"/>
      <c r="AQ69" s="20"/>
      <c r="AR69" s="127"/>
    </row>
    <row r="70" spans="2:44" x14ac:dyDescent="0.25">
      <c r="B70" s="6"/>
      <c r="C70" s="20"/>
      <c r="D70" s="20"/>
      <c r="E70" s="20"/>
      <c r="F70" s="20"/>
      <c r="G70" s="186"/>
      <c r="H70" s="20"/>
      <c r="I70" s="20"/>
      <c r="J70" s="20"/>
      <c r="K70" s="20"/>
      <c r="L70" s="186"/>
      <c r="M70" s="20"/>
      <c r="N70" s="5"/>
      <c r="O70" s="2" t="s">
        <v>56</v>
      </c>
      <c r="P70" s="162">
        <f ca="1">SUM(Q70:Z70)</f>
        <v>5.0859310221045622</v>
      </c>
      <c r="Q70" s="77">
        <f t="shared" ref="Q70:Z70" ca="1" si="37">IF(Q41&gt;$E$19,"",Q41*(Q66/(1+$P$67)^Q41/-$P$66))</f>
        <v>7.7621684456380471E-2</v>
      </c>
      <c r="R70" s="77">
        <f t="shared" ca="1" si="37"/>
        <v>0.1204773874291567</v>
      </c>
      <c r="S70" s="77">
        <f t="shared" ca="1" si="37"/>
        <v>0.13813634520255572</v>
      </c>
      <c r="T70" s="77">
        <f t="shared" ca="1" si="37"/>
        <v>0.19600766268053185</v>
      </c>
      <c r="U70" s="77">
        <f t="shared" ca="1" si="37"/>
        <v>0.2443280210620111</v>
      </c>
      <c r="V70" s="77">
        <f t="shared" ca="1" si="37"/>
        <v>4.3093599212739262</v>
      </c>
      <c r="W70" s="77" t="str">
        <f t="shared" si="37"/>
        <v/>
      </c>
      <c r="X70" s="77" t="str">
        <f t="shared" si="37"/>
        <v/>
      </c>
      <c r="Y70" s="77" t="str">
        <f t="shared" si="37"/>
        <v/>
      </c>
      <c r="Z70" s="77" t="str">
        <f t="shared" si="37"/>
        <v/>
      </c>
      <c r="AA70" s="120"/>
      <c r="AB70" s="127"/>
      <c r="AC70" s="122"/>
      <c r="AD70" s="6"/>
      <c r="AE70" s="438"/>
      <c r="AF70" s="100">
        <v>5</v>
      </c>
      <c r="AG70" s="88">
        <v>0.19344794781881136</v>
      </c>
      <c r="AH70" s="89">
        <v>2.2155540209600826</v>
      </c>
      <c r="AI70" s="165">
        <v>4698116.2910106117</v>
      </c>
      <c r="AJ70" s="90">
        <v>4.374160046817881</v>
      </c>
      <c r="AK70" s="20"/>
      <c r="AL70" s="20"/>
      <c r="AM70" s="20"/>
      <c r="AN70" s="20"/>
      <c r="AO70" s="20"/>
      <c r="AP70" s="20"/>
      <c r="AQ70" s="20"/>
      <c r="AR70" s="127"/>
    </row>
    <row r="71" spans="2:44" x14ac:dyDescent="0.25">
      <c r="B71" s="6"/>
      <c r="C71" s="20"/>
      <c r="D71" s="20"/>
      <c r="E71" s="20"/>
      <c r="F71" s="20"/>
      <c r="G71" s="186"/>
      <c r="H71" s="20"/>
      <c r="I71" s="20"/>
      <c r="J71" s="20"/>
      <c r="K71" s="20"/>
      <c r="L71" s="186"/>
      <c r="M71" s="20"/>
      <c r="N71" s="153"/>
      <c r="O71" s="4" t="s">
        <v>22</v>
      </c>
      <c r="P71" s="21"/>
      <c r="Q71" s="22">
        <f t="shared" ref="Q71:Z71" si="38">IF($E$19&gt;=Q12,-Q59/$P$66,"")</f>
        <v>9.2112825235950768E-2</v>
      </c>
      <c r="R71" s="22">
        <f t="shared" si="38"/>
        <v>8.4830030928059269E-2</v>
      </c>
      <c r="S71" s="22">
        <f t="shared" si="38"/>
        <v>7.6948086809322275E-2</v>
      </c>
      <c r="T71" s="22">
        <f t="shared" si="38"/>
        <v>9.7176492190952785E-2</v>
      </c>
      <c r="U71" s="22">
        <f t="shared" si="38"/>
        <v>0.11499751946236329</v>
      </c>
      <c r="V71" s="22">
        <f t="shared" si="38"/>
        <v>0.12136093951828068</v>
      </c>
      <c r="W71" s="22" t="str">
        <f t="shared" si="38"/>
        <v/>
      </c>
      <c r="X71" s="22" t="str">
        <f t="shared" si="38"/>
        <v/>
      </c>
      <c r="Y71" s="22" t="str">
        <f t="shared" si="38"/>
        <v/>
      </c>
      <c r="Z71" s="22" t="str">
        <f t="shared" si="38"/>
        <v/>
      </c>
      <c r="AA71" s="118"/>
      <c r="AB71" s="127"/>
      <c r="AC71" s="122"/>
      <c r="AD71" s="6"/>
      <c r="AE71" s="438"/>
      <c r="AF71" s="100">
        <v>6</v>
      </c>
      <c r="AG71" s="88">
        <v>0.18668933663393528</v>
      </c>
      <c r="AH71" s="89">
        <v>2.4718470821292127</v>
      </c>
      <c r="AI71" s="165">
        <v>5688688.9724292764</v>
      </c>
      <c r="AJ71" s="90">
        <v>5.0859310221045622</v>
      </c>
      <c r="AK71" s="20"/>
      <c r="AL71" s="20"/>
      <c r="AM71" s="20"/>
      <c r="AN71" s="20"/>
      <c r="AO71" s="20"/>
      <c r="AP71" s="20"/>
      <c r="AQ71" s="20"/>
      <c r="AR71" s="127"/>
    </row>
    <row r="72" spans="2:44" x14ac:dyDescent="0.25">
      <c r="B72" s="6"/>
      <c r="C72" s="20"/>
      <c r="D72" s="20"/>
      <c r="E72" s="20"/>
      <c r="F72" s="20"/>
      <c r="G72" s="186"/>
      <c r="H72" s="20"/>
      <c r="I72" s="20"/>
      <c r="J72" s="20"/>
      <c r="K72" s="20"/>
      <c r="L72" s="186"/>
      <c r="M72" s="20"/>
      <c r="N72" s="20"/>
      <c r="O72" s="20"/>
      <c r="P72" s="20"/>
      <c r="Q72" s="20"/>
      <c r="R72" s="20"/>
      <c r="S72" s="20"/>
      <c r="T72" s="20"/>
      <c r="U72" s="20"/>
      <c r="V72" s="20"/>
      <c r="W72" s="20"/>
      <c r="X72" s="20"/>
      <c r="Y72" s="20"/>
      <c r="Z72" s="20"/>
      <c r="AA72" s="20"/>
      <c r="AB72" s="127"/>
      <c r="AC72" s="122"/>
      <c r="AD72" s="6"/>
      <c r="AE72" s="438"/>
      <c r="AF72" s="100">
        <v>7</v>
      </c>
      <c r="AG72" s="88">
        <v>0.18135864181809525</v>
      </c>
      <c r="AH72" s="89">
        <v>2.7391339594124613</v>
      </c>
      <c r="AI72" s="165">
        <v>6721752.7531290073</v>
      </c>
      <c r="AJ72" s="90">
        <v>5.7472843481707576</v>
      </c>
      <c r="AK72" s="20"/>
      <c r="AL72" s="20"/>
      <c r="AM72" s="20"/>
      <c r="AN72" s="20"/>
      <c r="AO72" s="20"/>
      <c r="AP72" s="20"/>
      <c r="AQ72" s="20"/>
      <c r="AR72" s="127"/>
    </row>
    <row r="73" spans="2:44" x14ac:dyDescent="0.25">
      <c r="B73" s="6"/>
      <c r="C73" s="20"/>
      <c r="D73" s="20"/>
      <c r="E73" s="20"/>
      <c r="F73" s="20"/>
      <c r="G73" s="186"/>
      <c r="H73" s="20"/>
      <c r="I73" s="20"/>
      <c r="J73" s="20"/>
      <c r="K73" s="20"/>
      <c r="L73" s="186"/>
      <c r="M73" s="20"/>
      <c r="N73" s="20"/>
      <c r="O73" s="49" t="s">
        <v>70</v>
      </c>
      <c r="P73" s="139"/>
      <c r="Q73" s="139">
        <f t="shared" ref="Q73:Z73" si="39">IFERROR(Q57/Q58,"")</f>
        <v>1.9560457377799214</v>
      </c>
      <c r="R73" s="139">
        <f t="shared" si="39"/>
        <v>1.8804570839811443</v>
      </c>
      <c r="S73" s="139">
        <f t="shared" si="39"/>
        <v>1.7923277790392398</v>
      </c>
      <c r="T73" s="139">
        <f t="shared" si="39"/>
        <v>2.0006179155990869</v>
      </c>
      <c r="U73" s="139">
        <f t="shared" si="39"/>
        <v>2.1841194884600741</v>
      </c>
      <c r="V73" s="139">
        <f t="shared" si="39"/>
        <v>2.2496430731138766</v>
      </c>
      <c r="W73" s="139" t="str">
        <f t="shared" si="39"/>
        <v/>
      </c>
      <c r="X73" s="139" t="str">
        <f t="shared" si="39"/>
        <v/>
      </c>
      <c r="Y73" s="139" t="str">
        <f t="shared" si="39"/>
        <v/>
      </c>
      <c r="Z73" s="139" t="str">
        <f t="shared" si="39"/>
        <v/>
      </c>
      <c r="AA73" s="140"/>
      <c r="AB73" s="127"/>
      <c r="AC73" s="122"/>
      <c r="AD73" s="6"/>
      <c r="AE73" s="438"/>
      <c r="AF73" s="100">
        <v>8</v>
      </c>
      <c r="AG73" s="88">
        <v>0.17698004473829054</v>
      </c>
      <c r="AH73" s="89">
        <v>3.017760418821688</v>
      </c>
      <c r="AI73" s="165">
        <v>7798644.018745644</v>
      </c>
      <c r="AJ73" s="90">
        <v>6.3612865393012248</v>
      </c>
      <c r="AK73" s="20"/>
      <c r="AL73" s="20"/>
      <c r="AM73" s="20"/>
      <c r="AN73" s="20"/>
      <c r="AO73" s="20"/>
      <c r="AP73" s="20"/>
      <c r="AQ73" s="20"/>
      <c r="AR73" s="127"/>
    </row>
    <row r="74" spans="2:44" x14ac:dyDescent="0.25">
      <c r="B74" s="6"/>
      <c r="C74" s="20"/>
      <c r="D74" s="20"/>
      <c r="E74" s="20"/>
      <c r="F74" s="20"/>
      <c r="G74" s="186"/>
      <c r="H74" s="20"/>
      <c r="I74" s="20"/>
      <c r="J74" s="20"/>
      <c r="K74" s="20"/>
      <c r="L74" s="186"/>
      <c r="M74" s="20"/>
      <c r="N74" s="20"/>
      <c r="O74" s="2" t="s">
        <v>190</v>
      </c>
      <c r="P74" s="77"/>
      <c r="Q74" s="396">
        <f ca="1">IFERROR(Q58/OFFSET(AmortSched!$C$13,Q41*12-1,6),"")</f>
        <v>5.8316815829322008E-2</v>
      </c>
      <c r="R74" s="396">
        <f ca="1">IFERROR(R58/OFFSET(AmortSched!$C$13,R41*12-1,6),"")</f>
        <v>5.9425480378353539E-2</v>
      </c>
      <c r="S74" s="396">
        <f ca="1">IFERROR(S58/OFFSET(AmortSched!$C$13,S41*12-1,6),"")</f>
        <v>6.062498208848701E-2</v>
      </c>
      <c r="T74" s="396">
        <f ca="1">IFERROR(T58/OFFSET(AmortSched!$C$13,T41*12-1,6),"")</f>
        <v>6.1925880095583037E-2</v>
      </c>
      <c r="U74" s="396">
        <f ca="1">IFERROR(U58/OFFSET(AmortSched!$C$13,U41*12-1,6),"")</f>
        <v>6.3340420835733283E-2</v>
      </c>
      <c r="V74" s="396">
        <f ca="1">IFERROR(V58/OFFSET(AmortSched!$C$13,V41*12-1,6),"")</f>
        <v>6.4882889484032202E-2</v>
      </c>
      <c r="W74" s="396" t="str">
        <f ca="1">IFERROR(W58/OFFSET(AmortSched!$C$13,W41*12-1,6),"")</f>
        <v/>
      </c>
      <c r="X74" s="396" t="str">
        <f ca="1">IFERROR(X58/OFFSET(AmortSched!$C$13,X41*12-1,6),"")</f>
        <v/>
      </c>
      <c r="Y74" s="396" t="str">
        <f ca="1">IFERROR(Y58/OFFSET(AmortSched!$C$13,Y41*12-1,6),"")</f>
        <v/>
      </c>
      <c r="Z74" s="396" t="str">
        <f ca="1">IFERROR(Z58/OFFSET(AmortSched!$C$13,Z41*12-1,6),"")</f>
        <v/>
      </c>
      <c r="AA74" s="120"/>
      <c r="AB74" s="127"/>
      <c r="AC74" s="122"/>
      <c r="AD74" s="6"/>
      <c r="AE74" s="438"/>
      <c r="AF74" s="100">
        <v>9</v>
      </c>
      <c r="AG74" s="88">
        <v>0.17328247182271017</v>
      </c>
      <c r="AH74" s="89">
        <v>3.308083249238988</v>
      </c>
      <c r="AI74" s="165">
        <v>8920741.7583084833</v>
      </c>
      <c r="AJ74" s="90">
        <v>6.9307719484944981</v>
      </c>
      <c r="AK74" s="20"/>
      <c r="AL74" s="20"/>
      <c r="AM74" s="20"/>
      <c r="AN74" s="20"/>
      <c r="AO74" s="20"/>
      <c r="AP74" s="20"/>
      <c r="AQ74" s="20"/>
      <c r="AR74" s="127"/>
    </row>
    <row r="75" spans="2:44" x14ac:dyDescent="0.25">
      <c r="B75" s="6"/>
      <c r="C75" s="1"/>
      <c r="D75" s="1"/>
      <c r="E75" s="1"/>
      <c r="F75" s="20"/>
      <c r="G75" s="186"/>
      <c r="H75" s="20"/>
      <c r="I75" s="20"/>
      <c r="J75" s="20"/>
      <c r="K75" s="20"/>
      <c r="L75" s="186"/>
      <c r="M75" s="20"/>
      <c r="N75" s="20"/>
      <c r="O75" s="4" t="s">
        <v>71</v>
      </c>
      <c r="P75" s="141"/>
      <c r="Q75" s="142">
        <f ca="1">IF($E$19&gt;=Q41,IFERROR(Q52/OFFSET(AmortSched!$C$13,Q41*12-1,6),""),"")</f>
        <v>0.11485337908121045</v>
      </c>
      <c r="R75" s="142">
        <f ca="1">IF($E$19&gt;=R41,IFERROR(R52/OFFSET(AmortSched!$C$13,R41*12-1,6),""),"")</f>
        <v>0.11256890880797504</v>
      </c>
      <c r="S75" s="142">
        <f ca="1">IF($E$19&gt;=S41,IFERROR(S52/OFFSET(AmortSched!$C$13,S41*12-1,6),""),"")</f>
        <v>0.11759227012100906</v>
      </c>
      <c r="T75" s="142">
        <f ca="1">IF($E$19&gt;=T41,IFERROR(T52/OFFSET(AmortSched!$C$13,T41*12-1,6),""),"")</f>
        <v>0.13221548587642629</v>
      </c>
      <c r="U75" s="142">
        <f ca="1">IF($E$19&gt;=U41,IFERROR(U52/OFFSET(AmortSched!$C$13,U41*12-1,6),""),"")</f>
        <v>0.13929268406992659</v>
      </c>
      <c r="V75" s="142">
        <f ca="1">IF($E$19&gt;=V41,IFERROR(V52/OFFSET(AmortSched!$C$13,V41*12-1,6),""),"")</f>
        <v>0.14696528785904447</v>
      </c>
      <c r="W75" s="142" t="str">
        <f ca="1">IF($E$19&gt;=W41,IFERROR(W52/OFFSET(AmortSched!$C$13,W41*12-1,6),""),"")</f>
        <v/>
      </c>
      <c r="X75" s="142" t="str">
        <f ca="1">IF($E$19&gt;=X41,IFERROR(X52/OFFSET(AmortSched!$C$13,X41*12-1,6),""),"")</f>
        <v/>
      </c>
      <c r="Y75" s="142" t="str">
        <f ca="1">IF($E$19&gt;=Y41,IFERROR(Y52/OFFSET(AmortSched!$C$13,Y41*12-1,6),""),"")</f>
        <v/>
      </c>
      <c r="Z75" s="142" t="str">
        <f ca="1">IF($E$19&gt;=Z41,IFERROR(Z52/OFFSET(AmortSched!$C$13,Z41*12-1,6),""),"")</f>
        <v/>
      </c>
      <c r="AA75" s="143"/>
      <c r="AB75" s="127"/>
      <c r="AC75" s="122"/>
      <c r="AD75" s="6"/>
      <c r="AE75" s="439"/>
      <c r="AF75" s="101">
        <v>10</v>
      </c>
      <c r="AG75" s="91">
        <v>0.17009770565953719</v>
      </c>
      <c r="AH75" s="92">
        <v>3.6104706195803193</v>
      </c>
      <c r="AI75" s="166">
        <v>10089468.944677703</v>
      </c>
      <c r="AJ75" s="93">
        <v>7.458374671299028</v>
      </c>
      <c r="AK75" s="20"/>
      <c r="AL75" s="20"/>
      <c r="AM75" s="20"/>
      <c r="AN75" s="20"/>
      <c r="AO75" s="20"/>
      <c r="AP75" s="20"/>
      <c r="AQ75" s="20"/>
      <c r="AR75" s="127"/>
    </row>
    <row r="76" spans="2:44" ht="15.75" thickBot="1" x14ac:dyDescent="0.3">
      <c r="B76" s="7"/>
      <c r="C76" s="129"/>
      <c r="D76" s="129"/>
      <c r="E76" s="129"/>
      <c r="F76" s="129"/>
      <c r="G76" s="186"/>
      <c r="H76" s="129"/>
      <c r="I76" s="129"/>
      <c r="J76" s="129"/>
      <c r="K76" s="129"/>
      <c r="L76" s="186"/>
      <c r="M76" s="129"/>
      <c r="N76" s="129"/>
      <c r="O76" s="129"/>
      <c r="P76" s="129"/>
      <c r="Q76" s="129"/>
      <c r="R76" s="129"/>
      <c r="S76" s="129"/>
      <c r="T76" s="129"/>
      <c r="U76" s="129"/>
      <c r="V76" s="129"/>
      <c r="W76" s="129"/>
      <c r="X76" s="129"/>
      <c r="Y76" s="129"/>
      <c r="Z76" s="129"/>
      <c r="AA76" s="129"/>
      <c r="AB76" s="131"/>
      <c r="AC76" s="122"/>
      <c r="AD76" s="7"/>
      <c r="AE76" s="129"/>
      <c r="AF76" s="129"/>
      <c r="AG76" s="129"/>
      <c r="AH76" s="129"/>
      <c r="AI76" s="129"/>
      <c r="AJ76" s="129"/>
      <c r="AK76" s="129"/>
      <c r="AL76" s="129"/>
      <c r="AM76" s="129"/>
      <c r="AN76" s="129"/>
      <c r="AO76" s="129"/>
      <c r="AP76" s="129"/>
      <c r="AQ76" s="129"/>
      <c r="AR76" s="131"/>
    </row>
    <row r="77" spans="2:44" x14ac:dyDescent="0.25">
      <c r="B77" s="122"/>
      <c r="C77" s="122"/>
      <c r="D77" s="122"/>
      <c r="E77" s="122"/>
      <c r="F77" s="122"/>
      <c r="G77" s="122"/>
      <c r="H77" s="122"/>
      <c r="I77" s="122"/>
      <c r="J77" s="122"/>
      <c r="K77" s="122"/>
      <c r="L77" s="122"/>
      <c r="M77" s="122"/>
      <c r="AB77" s="122"/>
      <c r="AC77" s="122"/>
      <c r="AD77" s="122"/>
      <c r="AE77" s="122"/>
      <c r="AF77" s="122"/>
      <c r="AG77" s="122"/>
      <c r="AH77" s="122"/>
      <c r="AI77" s="122"/>
      <c r="AJ77" s="122"/>
      <c r="AK77" s="122"/>
      <c r="AL77" s="122"/>
      <c r="AM77" s="122"/>
      <c r="AN77" s="122"/>
      <c r="AO77" s="122"/>
      <c r="AP77" s="122"/>
      <c r="AQ77" s="122"/>
      <c r="AR77" s="122"/>
    </row>
    <row r="78" spans="2:44" x14ac:dyDescent="0.25">
      <c r="B78" s="122"/>
      <c r="C78" s="122"/>
      <c r="D78" s="122"/>
      <c r="E78" s="122"/>
      <c r="F78" s="122"/>
      <c r="G78" s="122"/>
      <c r="H78" s="122"/>
      <c r="I78" s="122"/>
      <c r="J78" s="122"/>
      <c r="K78" s="122"/>
      <c r="L78" s="122"/>
      <c r="M78" s="122"/>
      <c r="AB78" s="122"/>
      <c r="AC78" s="122"/>
      <c r="AD78" s="122"/>
      <c r="AE78" s="122"/>
      <c r="AF78" s="122"/>
      <c r="AG78" s="122"/>
      <c r="AH78" s="122"/>
      <c r="AI78" s="122"/>
      <c r="AJ78" s="122"/>
      <c r="AK78" s="122"/>
      <c r="AL78" s="122"/>
      <c r="AM78" s="122"/>
      <c r="AN78" s="122"/>
      <c r="AO78" s="122"/>
      <c r="AP78" s="122"/>
      <c r="AQ78" s="122"/>
      <c r="AR78" s="122"/>
    </row>
    <row r="79" spans="2:44" x14ac:dyDescent="0.25">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row>
    <row r="80" spans="2:44" x14ac:dyDescent="0.25">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row>
    <row r="81" spans="2:44" x14ac:dyDescent="0.25">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row>
    <row r="82" spans="2:44" x14ac:dyDescent="0.25">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row>
    <row r="83" spans="2:44" x14ac:dyDescent="0.25">
      <c r="B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row>
    <row r="84" spans="2:44" x14ac:dyDescent="0.25">
      <c r="N84" s="122"/>
      <c r="O84" s="122"/>
      <c r="P84" s="122"/>
      <c r="Q84" s="122"/>
      <c r="R84" s="122"/>
      <c r="S84" s="122"/>
      <c r="T84" s="122"/>
      <c r="U84" s="122"/>
      <c r="V84" s="122"/>
      <c r="W84" s="122"/>
      <c r="X84" s="122"/>
      <c r="Y84" s="122"/>
      <c r="Z84" s="122"/>
      <c r="AA84" s="122"/>
    </row>
    <row r="85" spans="2:44" x14ac:dyDescent="0.25">
      <c r="N85" s="122"/>
      <c r="O85" s="122"/>
      <c r="P85" s="122"/>
      <c r="Q85" s="122"/>
      <c r="R85" s="122"/>
      <c r="S85" s="122"/>
      <c r="T85" s="122"/>
      <c r="U85" s="122"/>
      <c r="V85" s="122"/>
      <c r="W85" s="122"/>
      <c r="X85" s="122"/>
      <c r="Y85" s="122"/>
      <c r="Z85" s="122"/>
      <c r="AA85" s="122"/>
    </row>
  </sheetData>
  <mergeCells count="13">
    <mergeCell ref="AE66:AE75"/>
    <mergeCell ref="AE52:AE61"/>
    <mergeCell ref="AE63:AJ63"/>
    <mergeCell ref="AE49:AJ49"/>
    <mergeCell ref="AG32:AQ32"/>
    <mergeCell ref="AE34:AE44"/>
    <mergeCell ref="C12:E12"/>
    <mergeCell ref="C11:E11"/>
    <mergeCell ref="AG17:AQ17"/>
    <mergeCell ref="AG31:AQ31"/>
    <mergeCell ref="C2:E3"/>
    <mergeCell ref="AE20:AE30"/>
    <mergeCell ref="AG18:AQ18"/>
  </mergeCells>
  <conditionalFormatting sqref="E31:J31">
    <cfRule type="expression" dxfId="20" priority="134">
      <formula>$E$31&gt;$E$19</formula>
    </cfRule>
  </conditionalFormatting>
  <conditionalFormatting sqref="Q16 R13:AA38">
    <cfRule type="expression" dxfId="19" priority="136">
      <formula>Q$12&gt;$E$19</formula>
    </cfRule>
  </conditionalFormatting>
  <conditionalFormatting sqref="Q73:AA74 R42:AA71">
    <cfRule type="expression" dxfId="18" priority="138">
      <formula>Q$41&gt;$E$19</formula>
    </cfRule>
  </conditionalFormatting>
  <conditionalFormatting sqref="AG34:AQ44">
    <cfRule type="cellIs" dxfId="17" priority="143" operator="equal">
      <formula>$AI$12</formula>
    </cfRule>
    <cfRule type="cellIs" dxfId="16" priority="144" operator="greaterThan">
      <formula>$AI$12</formula>
    </cfRule>
  </conditionalFormatting>
  <conditionalFormatting sqref="AG20:AQ30">
    <cfRule type="cellIs" dxfId="15" priority="145" operator="equal">
      <formula>$AI$11</formula>
    </cfRule>
    <cfRule type="cellIs" dxfId="14" priority="146" operator="greaterThan">
      <formula>$AI$11</formula>
    </cfRule>
  </conditionalFormatting>
  <conditionalFormatting sqref="Q75:Z75">
    <cfRule type="expression" dxfId="13" priority="3">
      <formula>Q$41&gt;$E$19</formula>
    </cfRule>
  </conditionalFormatting>
  <conditionalFormatting sqref="AA75">
    <cfRule type="expression" dxfId="12" priority="2">
      <formula>AA$41&gt;$E$19</formula>
    </cfRule>
  </conditionalFormatting>
  <conditionalFormatting sqref="E33">
    <cfRule type="expression" dxfId="11" priority="1">
      <formula>$E$32="No"</formula>
    </cfRule>
  </conditionalFormatting>
  <dataValidations count="3">
    <dataValidation type="list" allowBlank="1" showInputMessage="1" showErrorMessage="1" sqref="E31:J31" xr:uid="{00000000-0002-0000-0000-000000000000}">
      <formula1>$BD$9:$BD$19</formula1>
    </dataValidation>
    <dataValidation type="list" allowBlank="1" showInputMessage="1" showErrorMessage="1" sqref="E32:J32" xr:uid="{00000000-0002-0000-0000-000001000000}">
      <formula1>$BE$10:$BE$11</formula1>
    </dataValidation>
    <dataValidation type="list" allowBlank="1" showInputMessage="1" showErrorMessage="1" sqref="F37:J37 E19" xr:uid="{00000000-0002-0000-0000-000002000000}">
      <formula1>$BD$10:$BD$19</formula1>
    </dataValidation>
  </dataValidations>
  <hyperlinks>
    <hyperlink ref="C6" r:id="rId1" xr:uid="{D37CE5C2-0013-4E9F-89A2-6EC40F036A17}"/>
    <hyperlink ref="C5" r:id="rId2" xr:uid="{8B847822-3A75-492C-94E2-8F1A34CB47B0}"/>
  </hyperlinks>
  <pageMargins left="0.7" right="0.7" top="0.75" bottom="0.75" header="0.3" footer="0.3"/>
  <pageSetup orientation="portrait" horizontalDpi="4294967293"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E261"/>
  <sheetViews>
    <sheetView tabSelected="1" zoomScale="85" zoomScaleNormal="85" workbookViewId="0"/>
  </sheetViews>
  <sheetFormatPr defaultColWidth="0" defaultRowHeight="15" x14ac:dyDescent="0.25"/>
  <cols>
    <col min="1" max="2" width="2.7109375" style="405" customWidth="1"/>
    <col min="3" max="3" width="56.28515625" style="405" bestFit="1" customWidth="1"/>
    <col min="4" max="4" width="12.5703125" style="405" bestFit="1" customWidth="1"/>
    <col min="5" max="5" width="27.85546875" style="405" customWidth="1"/>
    <col min="6" max="9" width="2.7109375" style="405" customWidth="1"/>
    <col min="10" max="10" width="50.85546875" style="405" bestFit="1" customWidth="1"/>
    <col min="11" max="11" width="12.42578125" style="405" bestFit="1" customWidth="1"/>
    <col min="12" max="12" width="20.42578125" style="405" bestFit="1" customWidth="1"/>
    <col min="13" max="13" width="16.7109375" style="405" bestFit="1" customWidth="1"/>
    <col min="14" max="14" width="21.28515625" style="405" bestFit="1" customWidth="1"/>
    <col min="15" max="16" width="18.28515625" style="405" bestFit="1" customWidth="1"/>
    <col min="17" max="17" width="17.85546875" style="405" bestFit="1" customWidth="1"/>
    <col min="18" max="18" width="18.28515625" style="405" bestFit="1" customWidth="1"/>
    <col min="19" max="19" width="17.85546875" style="405" bestFit="1" customWidth="1"/>
    <col min="20" max="20" width="18.28515625" style="405" bestFit="1" customWidth="1"/>
    <col min="21" max="21" width="20.42578125" style="405" bestFit="1" customWidth="1"/>
    <col min="22" max="22" width="16" style="405" bestFit="1" customWidth="1"/>
    <col min="23" max="23" width="18.85546875" style="405" bestFit="1" customWidth="1"/>
    <col min="24" max="24" width="17.5703125" style="405" bestFit="1" customWidth="1"/>
    <col min="25" max="27" width="2.7109375" style="405" customWidth="1"/>
    <col min="28" max="28" width="44.85546875" style="405" bestFit="1" customWidth="1"/>
    <col min="29" max="29" width="18.42578125" style="405" bestFit="1" customWidth="1"/>
    <col min="30" max="30" width="14.7109375" style="405" bestFit="1" customWidth="1"/>
    <col min="31" max="31" width="16.7109375" style="405" bestFit="1" customWidth="1"/>
    <col min="32" max="32" width="16.85546875" style="405" bestFit="1" customWidth="1"/>
    <col min="33" max="34" width="13.42578125" style="405" bestFit="1" customWidth="1"/>
    <col min="35" max="35" width="13" style="405" bestFit="1" customWidth="1"/>
    <col min="36" max="41" width="13.42578125" style="405" bestFit="1" customWidth="1"/>
    <col min="42" max="42" width="20.140625" style="405" bestFit="1" customWidth="1"/>
    <col min="43" max="43" width="2.7109375" style="405" customWidth="1"/>
    <col min="44" max="44" width="9.140625" style="405" customWidth="1"/>
    <col min="45" max="57" width="0" style="405" hidden="1" customWidth="1"/>
    <col min="58" max="16384" width="9.140625" style="405" hidden="1"/>
  </cols>
  <sheetData>
    <row r="1" spans="2:57" ht="15.75" thickBot="1" x14ac:dyDescent="0.3">
      <c r="AP1" s="210" t="s">
        <v>99</v>
      </c>
    </row>
    <row r="2" spans="2:57" ht="15" customHeight="1" x14ac:dyDescent="0.25">
      <c r="B2" s="124"/>
      <c r="C2" s="436" t="s">
        <v>195</v>
      </c>
      <c r="D2" s="436"/>
      <c r="E2" s="436"/>
      <c r="F2" s="427"/>
      <c r="AP2" s="210" t="s">
        <v>100</v>
      </c>
    </row>
    <row r="3" spans="2:57" ht="15" customHeight="1" x14ac:dyDescent="0.25">
      <c r="B3" s="6"/>
      <c r="C3" s="437"/>
      <c r="D3" s="437"/>
      <c r="E3" s="437"/>
      <c r="F3" s="428"/>
      <c r="AP3" s="210" t="s">
        <v>101</v>
      </c>
    </row>
    <row r="4" spans="2:57" x14ac:dyDescent="0.25">
      <c r="B4" s="6"/>
      <c r="C4" s="20" t="s">
        <v>66</v>
      </c>
      <c r="D4" s="20"/>
      <c r="E4" s="20"/>
      <c r="F4" s="127"/>
    </row>
    <row r="5" spans="2:57" x14ac:dyDescent="0.25">
      <c r="B5" s="6"/>
      <c r="C5" s="429" t="s">
        <v>193</v>
      </c>
      <c r="D5" s="20"/>
      <c r="E5" s="20"/>
      <c r="F5" s="127"/>
    </row>
    <row r="6" spans="2:57" ht="15.75" thickBot="1" x14ac:dyDescent="0.3">
      <c r="B6" s="7"/>
      <c r="C6" s="425" t="s">
        <v>194</v>
      </c>
      <c r="D6" s="129"/>
      <c r="E6" s="129"/>
      <c r="F6" s="131"/>
    </row>
    <row r="7" spans="2:57" ht="15.75" thickBot="1" x14ac:dyDescent="0.3"/>
    <row r="8" spans="2:57" ht="26.25" x14ac:dyDescent="0.25">
      <c r="B8" s="124"/>
      <c r="C8" s="125"/>
      <c r="D8" s="125"/>
      <c r="E8" s="125"/>
      <c r="F8" s="313"/>
      <c r="G8" s="408"/>
      <c r="H8" s="124"/>
      <c r="I8" s="125"/>
      <c r="J8" s="125"/>
      <c r="K8" s="125"/>
      <c r="L8" s="125"/>
      <c r="M8" s="125"/>
      <c r="N8" s="125"/>
      <c r="O8" s="125"/>
      <c r="P8" s="125"/>
      <c r="Q8" s="125"/>
      <c r="R8" s="125"/>
      <c r="S8" s="125"/>
      <c r="T8" s="125"/>
      <c r="U8" s="125"/>
      <c r="V8" s="125"/>
      <c r="W8" s="125"/>
      <c r="X8" s="125"/>
      <c r="Y8" s="126"/>
      <c r="AA8" s="124"/>
      <c r="AB8" s="125"/>
      <c r="AC8" s="125"/>
      <c r="AD8" s="125"/>
      <c r="AE8" s="125"/>
      <c r="AF8" s="125"/>
      <c r="AG8" s="125"/>
      <c r="AH8" s="125"/>
      <c r="AI8" s="125"/>
      <c r="AJ8" s="125"/>
      <c r="AK8" s="125"/>
      <c r="AL8" s="125"/>
      <c r="AM8" s="125"/>
      <c r="AN8" s="125"/>
      <c r="AO8" s="125"/>
      <c r="AP8" s="125"/>
      <c r="AQ8" s="126"/>
    </row>
    <row r="9" spans="2:57" ht="26.25" x14ac:dyDescent="0.25">
      <c r="B9" s="6"/>
      <c r="C9" s="323" t="s">
        <v>96</v>
      </c>
      <c r="D9" s="20"/>
      <c r="E9" s="20"/>
      <c r="F9" s="314"/>
      <c r="G9" s="408"/>
      <c r="H9" s="6"/>
      <c r="I9" s="20"/>
      <c r="J9" s="323" t="s">
        <v>170</v>
      </c>
      <c r="K9" s="455" t="str">
        <f ca="1">H60</f>
        <v>Must Use Solver or Goal Seek</v>
      </c>
      <c r="L9" s="455"/>
      <c r="M9" s="455"/>
      <c r="N9" s="455"/>
      <c r="O9" s="20"/>
      <c r="P9" s="20"/>
      <c r="Q9" s="20"/>
      <c r="R9" s="20"/>
      <c r="S9" s="20"/>
      <c r="T9" s="20"/>
      <c r="U9" s="20"/>
      <c r="V9" s="20"/>
      <c r="W9" s="20"/>
      <c r="X9" s="20"/>
      <c r="Y9" s="127"/>
      <c r="AA9" s="6"/>
      <c r="AB9" s="323" t="s">
        <v>171</v>
      </c>
      <c r="AC9" s="20"/>
      <c r="AD9" s="20"/>
      <c r="AE9" s="20"/>
      <c r="AF9" s="20"/>
      <c r="AG9" s="20"/>
      <c r="AH9" s="20"/>
      <c r="AI9" s="20"/>
      <c r="AJ9" s="20"/>
      <c r="AK9" s="20"/>
      <c r="AL9" s="20"/>
      <c r="AM9" s="20"/>
      <c r="AN9" s="20"/>
      <c r="AO9" s="20"/>
      <c r="AP9" s="20"/>
      <c r="AQ9" s="127"/>
      <c r="BE9" s="405" t="s">
        <v>34</v>
      </c>
    </row>
    <row r="10" spans="2:57" x14ac:dyDescent="0.25">
      <c r="B10" s="6"/>
      <c r="C10" s="20"/>
      <c r="D10" s="20"/>
      <c r="E10" s="21"/>
      <c r="F10" s="127"/>
      <c r="G10" s="409"/>
      <c r="H10" s="6"/>
      <c r="I10" s="20"/>
      <c r="J10" s="20"/>
      <c r="K10" s="20"/>
      <c r="L10" s="20"/>
      <c r="M10" s="20"/>
      <c r="N10" s="20"/>
      <c r="O10" s="20"/>
      <c r="P10" s="20"/>
      <c r="Q10" s="20"/>
      <c r="R10" s="20"/>
      <c r="S10" s="20"/>
      <c r="T10" s="20"/>
      <c r="U10" s="20"/>
      <c r="V10" s="20"/>
      <c r="W10" s="20"/>
      <c r="X10" s="20"/>
      <c r="Y10" s="127"/>
      <c r="AA10" s="6"/>
      <c r="AB10" s="20"/>
      <c r="AC10" s="20"/>
      <c r="AD10" s="20"/>
      <c r="AE10" s="20"/>
      <c r="AF10" s="20"/>
      <c r="AG10" s="20"/>
      <c r="AH10" s="20"/>
      <c r="AI10" s="20"/>
      <c r="AJ10" s="20"/>
      <c r="AK10" s="20"/>
      <c r="AL10" s="20"/>
      <c r="AM10" s="20"/>
      <c r="AN10" s="20"/>
      <c r="AO10" s="20"/>
      <c r="AP10" s="20"/>
      <c r="AQ10" s="127"/>
      <c r="BE10" s="405" t="s">
        <v>45</v>
      </c>
    </row>
    <row r="11" spans="2:57" x14ac:dyDescent="0.25">
      <c r="B11" s="6"/>
      <c r="C11" s="433" t="s">
        <v>96</v>
      </c>
      <c r="D11" s="434"/>
      <c r="E11" s="318"/>
      <c r="F11" s="391"/>
      <c r="G11" s="410"/>
      <c r="H11" s="6"/>
      <c r="I11" s="20"/>
      <c r="J11" s="317" t="s">
        <v>115</v>
      </c>
      <c r="K11" s="319"/>
      <c r="L11" s="319"/>
      <c r="M11" s="319"/>
      <c r="N11" s="319"/>
      <c r="O11" s="319"/>
      <c r="P11" s="319"/>
      <c r="Q11" s="319"/>
      <c r="R11" s="319"/>
      <c r="S11" s="319"/>
      <c r="T11" s="319"/>
      <c r="U11" s="319"/>
      <c r="V11" s="319"/>
      <c r="W11" s="319"/>
      <c r="X11" s="318"/>
      <c r="Y11" s="127"/>
      <c r="AA11" s="6"/>
      <c r="AB11" s="29" t="s">
        <v>68</v>
      </c>
      <c r="AC11" s="30"/>
      <c r="AD11" s="30"/>
      <c r="AE11" s="30"/>
      <c r="AF11" s="388"/>
      <c r="AG11" s="20"/>
      <c r="AH11" s="20"/>
      <c r="AI11" s="20"/>
      <c r="AJ11" s="20"/>
      <c r="AK11" s="20"/>
      <c r="AL11" s="20"/>
      <c r="AM11" s="20"/>
      <c r="AN11" s="20"/>
      <c r="AO11" s="20"/>
      <c r="AP11" s="20"/>
      <c r="AQ11" s="127"/>
    </row>
    <row r="12" spans="2:57" x14ac:dyDescent="0.25">
      <c r="B12" s="6"/>
      <c r="C12" s="430"/>
      <c r="D12" s="431"/>
      <c r="E12" s="316"/>
      <c r="F12" s="392"/>
      <c r="G12" s="411"/>
      <c r="H12" s="6"/>
      <c r="I12" s="20"/>
      <c r="J12" s="18"/>
      <c r="K12" s="315" t="s">
        <v>54</v>
      </c>
      <c r="L12" s="315" t="s">
        <v>55</v>
      </c>
      <c r="M12" s="315" t="s">
        <v>114</v>
      </c>
      <c r="N12" s="315">
        <v>0</v>
      </c>
      <c r="O12" s="315">
        <v>1</v>
      </c>
      <c r="P12" s="315">
        <v>2</v>
      </c>
      <c r="Q12" s="315">
        <v>3</v>
      </c>
      <c r="R12" s="315">
        <v>4</v>
      </c>
      <c r="S12" s="315">
        <v>5</v>
      </c>
      <c r="T12" s="315">
        <v>6</v>
      </c>
      <c r="U12" s="315">
        <v>7</v>
      </c>
      <c r="V12" s="315">
        <v>8</v>
      </c>
      <c r="W12" s="315">
        <v>9</v>
      </c>
      <c r="X12" s="316">
        <v>10</v>
      </c>
      <c r="Y12" s="127"/>
      <c r="AA12" s="6"/>
      <c r="AB12" s="38"/>
      <c r="AC12" s="31"/>
      <c r="AD12" s="31"/>
      <c r="AE12" s="31"/>
      <c r="AF12" s="389"/>
      <c r="AG12" s="20"/>
      <c r="AH12" s="20"/>
      <c r="AI12" s="20"/>
      <c r="AJ12" s="20"/>
      <c r="AK12" s="20"/>
      <c r="AL12" s="20"/>
      <c r="AM12" s="20"/>
      <c r="AN12" s="20"/>
      <c r="AO12" s="20"/>
      <c r="AP12" s="20"/>
      <c r="AQ12" s="127"/>
    </row>
    <row r="13" spans="2:57" x14ac:dyDescent="0.25">
      <c r="B13" s="6"/>
      <c r="C13" s="2" t="s">
        <v>0</v>
      </c>
      <c r="D13" s="20"/>
      <c r="E13" s="16">
        <f>Model!E16</f>
        <v>10000000</v>
      </c>
      <c r="F13" s="127"/>
      <c r="G13" s="409"/>
      <c r="H13" s="6"/>
      <c r="I13" s="20"/>
      <c r="J13" s="67" t="str">
        <f>Model!O66</f>
        <v>Levered Cash Flow</v>
      </c>
      <c r="K13" s="225">
        <f ca="1">IRR(N13:X13)</f>
        <v>0.18668933663393528</v>
      </c>
      <c r="L13" s="224">
        <f ca="1">SUMIF(N13:X13,"&gt;0")/-SUMIF(N13:X13,"&lt;0")</f>
        <v>2.4718470821292127</v>
      </c>
      <c r="M13" s="244">
        <f ca="1">SUM(N13:X13)</f>
        <v>5688688.9724292764</v>
      </c>
      <c r="N13" s="230">
        <f>Model!P66</f>
        <v>-3864999.9999999115</v>
      </c>
      <c r="O13" s="231">
        <f>Model!Q66</f>
        <v>356016.06953694159</v>
      </c>
      <c r="P13" s="231">
        <f>Model!R66</f>
        <v>327868.06953694159</v>
      </c>
      <c r="Q13" s="231">
        <f>Model!S66</f>
        <v>297404.35551802377</v>
      </c>
      <c r="R13" s="231">
        <f>Model!T66</f>
        <v>375587.14231802389</v>
      </c>
      <c r="S13" s="231">
        <f>Model!U66</f>
        <v>444465.41272202396</v>
      </c>
      <c r="T13" s="231">
        <f ca="1">Model!V66</f>
        <v>7752347.9227972329</v>
      </c>
      <c r="U13" s="231" t="str">
        <f>Model!W66</f>
        <v/>
      </c>
      <c r="V13" s="231" t="str">
        <f>Model!X66</f>
        <v/>
      </c>
      <c r="W13" s="231" t="str">
        <f>Model!Y66</f>
        <v/>
      </c>
      <c r="X13" s="232" t="str">
        <f>Model!Z66</f>
        <v/>
      </c>
      <c r="Y13" s="127"/>
      <c r="AA13" s="6"/>
      <c r="AB13" s="2"/>
      <c r="AC13" s="20" t="s">
        <v>175</v>
      </c>
      <c r="AD13" s="133" t="s">
        <v>54</v>
      </c>
      <c r="AE13" s="379" t="s">
        <v>55</v>
      </c>
      <c r="AF13" s="390" t="s">
        <v>114</v>
      </c>
      <c r="AG13" s="20"/>
      <c r="AH13" s="20"/>
      <c r="AI13" s="20"/>
      <c r="AJ13" s="20"/>
      <c r="AK13" s="20"/>
      <c r="AL13" s="20"/>
      <c r="AM13" s="20"/>
      <c r="AN13" s="20"/>
      <c r="AO13" s="20"/>
      <c r="AP13" s="20"/>
      <c r="AQ13" s="127"/>
    </row>
    <row r="14" spans="2:57" x14ac:dyDescent="0.25">
      <c r="B14" s="6"/>
      <c r="C14" s="4" t="s">
        <v>111</v>
      </c>
      <c r="D14" s="21"/>
      <c r="E14" s="17">
        <f>Model!P66+E16</f>
        <v>-3964999.9999999115</v>
      </c>
      <c r="F14" s="127"/>
      <c r="G14" s="409"/>
      <c r="H14" s="6"/>
      <c r="I14" s="20"/>
      <c r="J14" s="2"/>
      <c r="K14" s="221"/>
      <c r="L14" s="226"/>
      <c r="M14" s="245"/>
      <c r="N14" s="233"/>
      <c r="O14" s="234"/>
      <c r="P14" s="234"/>
      <c r="Q14" s="234"/>
      <c r="R14" s="234"/>
      <c r="S14" s="234"/>
      <c r="T14" s="234"/>
      <c r="U14" s="234"/>
      <c r="V14" s="234"/>
      <c r="W14" s="234"/>
      <c r="X14" s="235"/>
      <c r="Y14" s="127"/>
      <c r="AA14" s="6"/>
      <c r="AB14" s="212" t="s">
        <v>133</v>
      </c>
      <c r="AC14" s="380">
        <f ca="1">SUMIF(AF28:AP29,"&lt;0")</f>
        <v>-3766749.9999999162</v>
      </c>
      <c r="AD14" s="381">
        <f ca="1">MAX(AC28,AC36,AC44,AC52,AC60)</f>
        <v>0.16493057546820244</v>
      </c>
      <c r="AE14" s="382">
        <f ca="1">MAX(AD28,AD36,AD44,AD52,AD60)</f>
        <v>2.2448541749986659</v>
      </c>
      <c r="AF14" s="383">
        <f ca="1">SUM(AF15:AF16)</f>
        <v>4689054.4636761211</v>
      </c>
      <c r="AG14" s="20"/>
      <c r="AH14" s="20"/>
      <c r="AI14" s="20"/>
      <c r="AJ14" s="20"/>
      <c r="AK14" s="20"/>
      <c r="AL14" s="20"/>
      <c r="AM14" s="20"/>
      <c r="AN14" s="20"/>
      <c r="AO14" s="20"/>
      <c r="AP14" s="20"/>
      <c r="AQ14" s="127"/>
    </row>
    <row r="15" spans="2:57" x14ac:dyDescent="0.25">
      <c r="B15" s="6"/>
      <c r="C15" s="212" t="s">
        <v>189</v>
      </c>
      <c r="D15" s="50"/>
      <c r="E15" s="213"/>
      <c r="F15" s="127"/>
      <c r="G15" s="409"/>
      <c r="H15" s="6"/>
      <c r="I15" s="20"/>
      <c r="J15" s="2" t="str">
        <f>C15</f>
        <v>Sponsor Fees</v>
      </c>
      <c r="K15" s="221"/>
      <c r="L15" s="226"/>
      <c r="M15" s="245"/>
      <c r="N15" s="233"/>
      <c r="O15" s="234"/>
      <c r="P15" s="234"/>
      <c r="Q15" s="234"/>
      <c r="R15" s="234"/>
      <c r="S15" s="234"/>
      <c r="T15" s="234"/>
      <c r="U15" s="234"/>
      <c r="V15" s="234"/>
      <c r="W15" s="234"/>
      <c r="X15" s="235"/>
      <c r="Y15" s="127"/>
      <c r="AA15" s="6"/>
      <c r="AB15" s="387" t="s">
        <v>125</v>
      </c>
      <c r="AC15" s="360">
        <f ca="1">SUMIF(AF28:AP28,"&lt;0")</f>
        <v>-3171999.9999999292</v>
      </c>
      <c r="AD15" s="358">
        <f ca="1">MAX(AC28,AC36,AC44,AC52,AC60)</f>
        <v>0.16493057546820244</v>
      </c>
      <c r="AE15" s="359">
        <f ca="1">MAX(AD28,AD36,AD44,AD52,AD60)</f>
        <v>2.2448541749986659</v>
      </c>
      <c r="AF15" s="384">
        <f ca="1">MAX(AE28,AE36,AE44,AE52,AE60)</f>
        <v>3948677.4430956808</v>
      </c>
      <c r="AG15" s="20"/>
      <c r="AH15" s="20"/>
      <c r="AI15" s="20"/>
      <c r="AJ15" s="20"/>
      <c r="AK15" s="20"/>
      <c r="AL15" s="20"/>
      <c r="AM15" s="20"/>
      <c r="AN15" s="20"/>
      <c r="AO15" s="20"/>
      <c r="AP15" s="20"/>
      <c r="AQ15" s="127"/>
    </row>
    <row r="16" spans="2:57" x14ac:dyDescent="0.25">
      <c r="B16" s="6"/>
      <c r="C16" s="3" t="s">
        <v>110</v>
      </c>
      <c r="D16" s="214">
        <v>0.01</v>
      </c>
      <c r="E16" s="16">
        <f>-E13*D16</f>
        <v>-100000</v>
      </c>
      <c r="F16" s="127"/>
      <c r="G16" s="409"/>
      <c r="H16" s="6"/>
      <c r="I16" s="20"/>
      <c r="J16" s="3" t="str">
        <f>C16</f>
        <v>Acquisition Fee (% of Purchase Price)</v>
      </c>
      <c r="K16" s="222"/>
      <c r="L16" s="227"/>
      <c r="M16" s="245">
        <f>SUM(N16:X16)</f>
        <v>-100000</v>
      </c>
      <c r="N16" s="233">
        <f>-D16*E13</f>
        <v>-100000</v>
      </c>
      <c r="O16" s="234"/>
      <c r="P16" s="234"/>
      <c r="Q16" s="234"/>
      <c r="R16" s="234"/>
      <c r="S16" s="234"/>
      <c r="T16" s="234"/>
      <c r="U16" s="234"/>
      <c r="V16" s="234"/>
      <c r="W16" s="234"/>
      <c r="X16" s="235"/>
      <c r="Y16" s="127"/>
      <c r="AA16" s="6"/>
      <c r="AB16" s="386" t="s">
        <v>126</v>
      </c>
      <c r="AC16" s="363">
        <f ca="1">SUMIF(AF29:AP29,"&lt;0")</f>
        <v>-594749.99999998673</v>
      </c>
      <c r="AD16" s="361">
        <f ca="1">IFERROR(MAX(AC29,AC37,AC45,AC53,AC61),"")</f>
        <v>0.16493057546820244</v>
      </c>
      <c r="AE16" s="362">
        <f ca="1">IFERROR(MAX(AD29,AD37,AD45,AD53,AD61),"")</f>
        <v>2.2448541749986655</v>
      </c>
      <c r="AF16" s="385">
        <f ca="1">MAX(AE29,AE37,AE45,AE53,AE61)</f>
        <v>740377.02058043983</v>
      </c>
      <c r="AG16" s="20"/>
      <c r="AH16" s="20"/>
      <c r="AI16" s="20"/>
      <c r="AJ16" s="20"/>
      <c r="AK16" s="20"/>
      <c r="AL16" s="20"/>
      <c r="AM16" s="20"/>
      <c r="AN16" s="20"/>
      <c r="AO16" s="20"/>
      <c r="AP16" s="20"/>
      <c r="AQ16" s="127"/>
    </row>
    <row r="17" spans="1:43" x14ac:dyDescent="0.25">
      <c r="B17" s="6"/>
      <c r="C17" s="3" t="s">
        <v>98</v>
      </c>
      <c r="D17" s="214">
        <v>0.03</v>
      </c>
      <c r="E17" s="215" t="s">
        <v>100</v>
      </c>
      <c r="F17" s="127"/>
      <c r="G17" s="409"/>
      <c r="H17" s="6"/>
      <c r="I17" s="20"/>
      <c r="J17" s="3" t="str">
        <f>C17</f>
        <v>Asset Management Fee</v>
      </c>
      <c r="K17" s="222"/>
      <c r="L17" s="227"/>
      <c r="M17" s="245">
        <f t="shared" ref="M17:M19" ca="1" si="0">SUM(N17:X17)</f>
        <v>-214959.53946137283</v>
      </c>
      <c r="N17" s="233"/>
      <c r="O17" s="234">
        <f>IF(O13="","",-(($E$17=$AP$1)*($E$13*$D$17)+($E$17=$AP$2)*(Model!Q$17*$D$17)+($E$17=$AP$3)*(Model!Q$22*$D$17)))</f>
        <v>-33696</v>
      </c>
      <c r="P17" s="234">
        <f>IF(P13="","",-(($E$17=$AP$1)*($E$13*$D$17)+($E$17=$AP$2)*(Model!R$17*$D$17)+($E$17=$AP$3)*(Model!R$22*$D$17)))</f>
        <v>-33206.879999999997</v>
      </c>
      <c r="Q17" s="234">
        <f>IF(Q13="","",-(($E$17=$AP$1)*($E$13*$D$17)+($E$17=$AP$2)*(Model!S$17*$D$17)+($E$17=$AP$3)*(Model!S$22*$D$17)))</f>
        <v>-34248.086399999993</v>
      </c>
      <c r="R17" s="234">
        <f>IF(R13="","",-(($E$17=$AP$1)*($E$13*$D$17)+($E$17=$AP$2)*(Model!T$17*$D$17)+($E$17=$AP$3)*(Model!T$22*$D$17)))</f>
        <v>-36820.528992</v>
      </c>
      <c r="S17" s="234">
        <f>IF(S13="","",-(($E$17=$AP$1)*($E$13*$D$17)+($E$17=$AP$2)*(Model!U$17*$D$17)+($E$17=$AP$3)*(Model!U$22*$D$17)))</f>
        <v>-37925.144861760004</v>
      </c>
      <c r="T17" s="234">
        <f ca="1">IF(T13="","",-(($E$17=$AP$1)*($E$13*$D$17)+($E$17=$AP$2)*(Model!V$17*$D$17)+($E$17=$AP$3)*(Model!V$22*$D$17)))</f>
        <v>-39062.899207612805</v>
      </c>
      <c r="U17" s="234" t="str">
        <f>IF(U13="","",-(($E$17=$AP$1)*($E$13*$D$17)+($E$17=$AP$2)*(Model!W$17*$D$17)+($E$17=$AP$3)*(Model!W$22*$D$17)))</f>
        <v/>
      </c>
      <c r="V17" s="234" t="str">
        <f>IF(V13="","",-(($E$17=$AP$1)*($E$13*$D$17)+($E$17=$AP$2)*(Model!X$17*$D$17)+($E$17=$AP$3)*(Model!X$22*$D$17)))</f>
        <v/>
      </c>
      <c r="W17" s="234" t="str">
        <f>IF(W13="","",-(($E$17=$AP$1)*($E$13*$D$17)+($E$17=$AP$2)*(Model!Y$17*$D$17)+($E$17=$AP$3)*(Model!Y$22*$D$17)))</f>
        <v/>
      </c>
      <c r="X17" s="235" t="str">
        <f>IF(X13="","",-(($E$17=$AP$1)*($E$13*$D$17)+($E$17=$AP$2)*(Model!Z$17*$D$17)+($E$17=$AP$3)*(Model!Z$22*$D$17)))</f>
        <v/>
      </c>
      <c r="Y17" s="127"/>
      <c r="AA17" s="6"/>
      <c r="AB17" s="2"/>
      <c r="AC17" s="20"/>
      <c r="AD17" s="20"/>
      <c r="AE17" s="20"/>
      <c r="AF17" s="83"/>
      <c r="AG17" s="20"/>
      <c r="AH17" s="20"/>
      <c r="AI17" s="20"/>
      <c r="AJ17" s="20"/>
      <c r="AK17" s="20"/>
      <c r="AL17" s="20"/>
      <c r="AM17" s="20"/>
      <c r="AN17" s="20"/>
      <c r="AO17" s="20"/>
      <c r="AP17" s="20"/>
      <c r="AQ17" s="127"/>
    </row>
    <row r="18" spans="1:43" x14ac:dyDescent="0.25">
      <c r="B18" s="6"/>
      <c r="C18" s="132" t="s">
        <v>112</v>
      </c>
      <c r="D18" s="216">
        <v>0.01</v>
      </c>
      <c r="E18" s="16">
        <f>-SUM(Model!Q29:Z29)*Waterfall!D18</f>
        <v>-134725.83911913366</v>
      </c>
      <c r="F18" s="127"/>
      <c r="G18" s="409"/>
      <c r="H18" s="6"/>
      <c r="I18" s="20"/>
      <c r="J18" s="3" t="str">
        <f>C18</f>
        <v>Disposition Fee (% of Sale Price)</v>
      </c>
      <c r="K18" s="222"/>
      <c r="L18" s="227"/>
      <c r="M18" s="246">
        <f t="shared" si="0"/>
        <v>-134725.83911913366</v>
      </c>
      <c r="N18" s="236"/>
      <c r="O18" s="237" t="str">
        <f>IF($D$18=0,"",IFERROR(-$D$18*Model!Q61,""))</f>
        <v/>
      </c>
      <c r="P18" s="237" t="str">
        <f>IF($D$18=0,"",IFERROR(-$D$18*Model!R61,""))</f>
        <v/>
      </c>
      <c r="Q18" s="237" t="str">
        <f>IF($D$18=0,"",IFERROR(-$D$18*Model!S61,""))</f>
        <v/>
      </c>
      <c r="R18" s="237" t="str">
        <f>IF($D$18=0,"",IFERROR(-$D$18*Model!T61,""))</f>
        <v/>
      </c>
      <c r="S18" s="237" t="str">
        <f>IF($D$18=0,"",IFERROR(-$D$18*Model!U61,""))</f>
        <v/>
      </c>
      <c r="T18" s="237">
        <f>IF($D$18=0,"",IFERROR(-$D$18*Model!V61,""))</f>
        <v>-134725.83911913366</v>
      </c>
      <c r="U18" s="237" t="str">
        <f>IF($D$18=0,"",IFERROR(-$D$18*Model!W61,""))</f>
        <v/>
      </c>
      <c r="V18" s="237" t="str">
        <f>IF($D$18=0,"",IFERROR(-$D$18*Model!X61,""))</f>
        <v/>
      </c>
      <c r="W18" s="237" t="str">
        <f>IF($D$18=0,"",IFERROR(-$D$18*Model!Y61,""))</f>
        <v/>
      </c>
      <c r="X18" s="238" t="str">
        <f>IF($D$18=0,"",IFERROR(-$D$18*Model!Z61,""))</f>
        <v/>
      </c>
      <c r="Y18" s="393"/>
      <c r="Z18" s="407"/>
      <c r="AA18" s="394"/>
      <c r="AB18" s="277" t="s">
        <v>177</v>
      </c>
      <c r="AC18" s="364">
        <f ca="1">SUMIF(AF30:AP30,"&lt;0")</f>
        <v>-198249.99999999543</v>
      </c>
      <c r="AD18" s="355">
        <f ca="1">MAX(AC30,AC38,AC46,AC54,AC62)</f>
        <v>0.24776845074730303</v>
      </c>
      <c r="AE18" s="356">
        <f ca="1">MAX(AD30,AD38,AD46,AD54,AD62)</f>
        <v>3.7740183110853076</v>
      </c>
      <c r="AF18" s="357">
        <f ca="1">MAX(AE30,AE38,AE46,AE54,AE62)</f>
        <v>549949.13017264963</v>
      </c>
      <c r="AG18" s="20"/>
      <c r="AH18" s="20"/>
      <c r="AI18" s="20"/>
      <c r="AJ18" s="20"/>
      <c r="AK18" s="20"/>
      <c r="AL18" s="20"/>
      <c r="AM18" s="20"/>
      <c r="AN18" s="20"/>
      <c r="AO18" s="20"/>
      <c r="AP18" s="20"/>
      <c r="AQ18" s="127"/>
    </row>
    <row r="19" spans="1:43" x14ac:dyDescent="0.25">
      <c r="B19" s="6"/>
      <c r="C19" s="456" t="s">
        <v>104</v>
      </c>
      <c r="D19" s="457"/>
      <c r="E19" s="458"/>
      <c r="F19" s="127"/>
      <c r="G19" s="409"/>
      <c r="H19" s="6"/>
      <c r="I19" s="20"/>
      <c r="J19" s="2" t="s">
        <v>113</v>
      </c>
      <c r="K19" s="221"/>
      <c r="L19" s="226"/>
      <c r="M19" s="245">
        <f t="shared" ca="1" si="0"/>
        <v>-449685.37858050648</v>
      </c>
      <c r="N19" s="233">
        <f>IF(SUM(N16:N18)=0,"",SUM(N16:N18))</f>
        <v>-100000</v>
      </c>
      <c r="O19" s="234">
        <f t="shared" ref="O19:X19" si="1">IF(SUM(O16:O18)=0,"",SUM(O16:O18))</f>
        <v>-33696</v>
      </c>
      <c r="P19" s="234">
        <f t="shared" si="1"/>
        <v>-33206.879999999997</v>
      </c>
      <c r="Q19" s="234">
        <f t="shared" si="1"/>
        <v>-34248.086399999993</v>
      </c>
      <c r="R19" s="234">
        <f t="shared" si="1"/>
        <v>-36820.528992</v>
      </c>
      <c r="S19" s="234">
        <f t="shared" si="1"/>
        <v>-37925.144861760004</v>
      </c>
      <c r="T19" s="234">
        <f t="shared" ca="1" si="1"/>
        <v>-173788.73832674645</v>
      </c>
      <c r="U19" s="234" t="str">
        <f t="shared" si="1"/>
        <v/>
      </c>
      <c r="V19" s="234" t="str">
        <f t="shared" si="1"/>
        <v/>
      </c>
      <c r="W19" s="234" t="str">
        <f t="shared" si="1"/>
        <v/>
      </c>
      <c r="X19" s="235" t="str">
        <f t="shared" si="1"/>
        <v/>
      </c>
      <c r="Y19" s="127"/>
      <c r="AA19" s="6"/>
      <c r="AB19" s="2"/>
      <c r="AC19" s="20"/>
      <c r="AD19" s="20"/>
      <c r="AE19" s="20"/>
      <c r="AF19" s="83"/>
      <c r="AG19" s="20"/>
      <c r="AH19" s="20"/>
      <c r="AI19" s="20"/>
      <c r="AJ19" s="20"/>
      <c r="AK19" s="20"/>
      <c r="AL19" s="20"/>
      <c r="AM19" s="20"/>
      <c r="AN19" s="20"/>
      <c r="AO19" s="20"/>
      <c r="AP19" s="20"/>
      <c r="AQ19" s="127"/>
    </row>
    <row r="20" spans="1:43" x14ac:dyDescent="0.25">
      <c r="B20" s="6"/>
      <c r="C20" s="2" t="s">
        <v>106</v>
      </c>
      <c r="D20" s="214">
        <v>0.8</v>
      </c>
      <c r="E20" s="16">
        <f>IF($N$21*D20=0,"",$N$21*D20)</f>
        <v>-3171999.9999999292</v>
      </c>
      <c r="F20" s="127"/>
      <c r="G20" s="409"/>
      <c r="H20" s="6"/>
      <c r="I20" s="20"/>
      <c r="J20" s="2"/>
      <c r="K20" s="221"/>
      <c r="L20" s="226"/>
      <c r="M20" s="245"/>
      <c r="N20" s="233"/>
      <c r="O20" s="234"/>
      <c r="P20" s="234"/>
      <c r="Q20" s="234"/>
      <c r="R20" s="234"/>
      <c r="S20" s="234"/>
      <c r="T20" s="234"/>
      <c r="U20" s="234"/>
      <c r="V20" s="234"/>
      <c r="W20" s="234"/>
      <c r="X20" s="235"/>
      <c r="Y20" s="127"/>
      <c r="AA20" s="6"/>
      <c r="AB20" s="277" t="s">
        <v>178</v>
      </c>
      <c r="AC20" s="364">
        <f ca="1">SUMIF(AF67:AP67,"&lt;0")</f>
        <v>-98249.999999995431</v>
      </c>
      <c r="AD20" s="355">
        <f ca="1">AC67</f>
        <v>0.63203479902872872</v>
      </c>
      <c r="AE20" s="356">
        <f ca="1">AD67</f>
        <v>11.174397035656007</v>
      </c>
      <c r="AF20" s="357">
        <f ca="1">AE67</f>
        <v>999634.50875315629</v>
      </c>
      <c r="AG20" s="20"/>
      <c r="AH20" s="20"/>
      <c r="AI20" s="20"/>
      <c r="AJ20" s="20"/>
      <c r="AK20" s="20"/>
      <c r="AL20" s="20"/>
      <c r="AM20" s="20"/>
      <c r="AN20" s="20"/>
      <c r="AO20" s="20"/>
      <c r="AP20" s="20"/>
      <c r="AQ20" s="127"/>
    </row>
    <row r="21" spans="1:43" x14ac:dyDescent="0.25">
      <c r="B21" s="6"/>
      <c r="C21" s="2" t="s">
        <v>107</v>
      </c>
      <c r="D21" s="214">
        <v>0.15</v>
      </c>
      <c r="E21" s="16">
        <f>IF($N$21*D21=0,"",$N$21*D21)</f>
        <v>-594749.99999998673</v>
      </c>
      <c r="F21" s="127"/>
      <c r="G21" s="409"/>
      <c r="H21" s="6"/>
      <c r="I21" s="20"/>
      <c r="J21" s="220" t="s">
        <v>102</v>
      </c>
      <c r="K21" s="223">
        <f ca="1">IRR(N21:X21)</f>
        <v>0.17060797910691439</v>
      </c>
      <c r="L21" s="228">
        <f ca="1">SUMIF(N21:X21,"&gt;0")/-SUMIF(N21:X21,"&lt;0")</f>
        <v>2.3213123818029979</v>
      </c>
      <c r="M21" s="247">
        <f ca="1">SUM(N21:X21)</f>
        <v>5239003.5938487705</v>
      </c>
      <c r="N21" s="239">
        <f>IF(N13="","",SUM(N13:N18))</f>
        <v>-3964999.9999999115</v>
      </c>
      <c r="O21" s="240">
        <f t="shared" ref="O21:X21" si="2">IF(O13="","",SUM(O13:O18))</f>
        <v>322320.06953694159</v>
      </c>
      <c r="P21" s="240">
        <f t="shared" si="2"/>
        <v>294661.18953694159</v>
      </c>
      <c r="Q21" s="240">
        <f t="shared" si="2"/>
        <v>263156.2691180238</v>
      </c>
      <c r="R21" s="240">
        <f t="shared" si="2"/>
        <v>338766.61332602391</v>
      </c>
      <c r="S21" s="240">
        <f t="shared" si="2"/>
        <v>406540.26786026394</v>
      </c>
      <c r="T21" s="240">
        <f t="shared" ca="1" si="2"/>
        <v>7578559.1844704868</v>
      </c>
      <c r="U21" s="240" t="str">
        <f t="shared" si="2"/>
        <v/>
      </c>
      <c r="V21" s="240" t="str">
        <f t="shared" si="2"/>
        <v/>
      </c>
      <c r="W21" s="240" t="str">
        <f t="shared" si="2"/>
        <v/>
      </c>
      <c r="X21" s="241" t="str">
        <f t="shared" si="2"/>
        <v/>
      </c>
      <c r="Y21" s="127"/>
      <c r="AA21" s="6"/>
      <c r="AB21" s="20"/>
      <c r="AC21" s="20"/>
      <c r="AD21" s="20"/>
      <c r="AE21" s="20"/>
      <c r="AF21" s="20"/>
      <c r="AG21" s="20"/>
      <c r="AH21" s="20"/>
      <c r="AI21" s="20"/>
      <c r="AJ21" s="20"/>
      <c r="AK21" s="20"/>
      <c r="AL21" s="20"/>
      <c r="AM21" s="20"/>
      <c r="AN21" s="20"/>
      <c r="AO21" s="20"/>
      <c r="AP21" s="20"/>
      <c r="AQ21" s="127"/>
    </row>
    <row r="22" spans="1:43" x14ac:dyDescent="0.25">
      <c r="B22" s="6"/>
      <c r="C22" s="4" t="s">
        <v>108</v>
      </c>
      <c r="D22" s="211">
        <f>1-D20-D21</f>
        <v>4.9999999999999961E-2</v>
      </c>
      <c r="E22" s="17">
        <f>IF($N$21*D22=0,"",$N$21*D22)</f>
        <v>-198249.99999999543</v>
      </c>
      <c r="F22" s="127"/>
      <c r="G22" s="409"/>
      <c r="H22" s="6"/>
      <c r="I22" s="20"/>
      <c r="J22" s="20"/>
      <c r="K22" s="20"/>
      <c r="L22" s="20"/>
      <c r="M22" s="20"/>
      <c r="N22" s="20"/>
      <c r="O22" s="20"/>
      <c r="P22" s="20"/>
      <c r="Q22" s="20"/>
      <c r="R22" s="20"/>
      <c r="S22" s="20"/>
      <c r="T22" s="20"/>
      <c r="U22" s="20"/>
      <c r="V22" s="20"/>
      <c r="W22" s="20"/>
      <c r="X22" s="20"/>
      <c r="Y22" s="127"/>
      <c r="AA22" s="6"/>
      <c r="AB22" s="20"/>
      <c r="AC22" s="20"/>
      <c r="AD22" s="20"/>
      <c r="AE22" s="20"/>
      <c r="AF22" s="20"/>
      <c r="AG22" s="20"/>
      <c r="AH22" s="20"/>
      <c r="AI22" s="20"/>
      <c r="AJ22" s="20"/>
      <c r="AK22" s="20"/>
      <c r="AL22" s="20"/>
      <c r="AM22" s="20"/>
      <c r="AN22" s="20"/>
      <c r="AO22" s="20"/>
      <c r="AP22" s="20"/>
      <c r="AQ22" s="127"/>
    </row>
    <row r="23" spans="1:43" x14ac:dyDescent="0.25">
      <c r="B23" s="6"/>
      <c r="C23" s="4" t="s">
        <v>97</v>
      </c>
      <c r="D23" s="219">
        <f>SUM(D20:D22)</f>
        <v>1</v>
      </c>
      <c r="E23" s="17">
        <f>SUM(E20:E22)</f>
        <v>-3964999.9999999115</v>
      </c>
      <c r="F23" s="127"/>
      <c r="G23" s="409"/>
      <c r="H23" s="6"/>
      <c r="I23" s="20"/>
      <c r="J23" s="20"/>
      <c r="K23" s="19"/>
      <c r="L23" s="20"/>
      <c r="M23" s="20"/>
      <c r="N23" s="20"/>
      <c r="O23" s="20"/>
      <c r="P23" s="20"/>
      <c r="Q23" s="20"/>
      <c r="R23" s="20"/>
      <c r="S23" s="20"/>
      <c r="T23" s="20"/>
      <c r="U23" s="20"/>
      <c r="V23" s="20"/>
      <c r="W23" s="20"/>
      <c r="X23" s="20"/>
      <c r="Y23" s="127"/>
      <c r="AA23" s="6"/>
      <c r="AB23" s="20"/>
      <c r="AC23" s="20"/>
      <c r="AD23" s="20"/>
      <c r="AE23" s="20"/>
      <c r="AF23" s="20"/>
      <c r="AG23" s="20"/>
      <c r="AH23" s="20"/>
      <c r="AI23" s="20"/>
      <c r="AJ23" s="20"/>
      <c r="AK23" s="20"/>
      <c r="AL23" s="20"/>
      <c r="AM23" s="20"/>
      <c r="AN23" s="20"/>
      <c r="AO23" s="20"/>
      <c r="AP23" s="20"/>
      <c r="AQ23" s="127"/>
    </row>
    <row r="24" spans="1:43" x14ac:dyDescent="0.25">
      <c r="A24" s="405" t="s">
        <v>109</v>
      </c>
      <c r="B24" s="6"/>
      <c r="C24" s="320" t="s">
        <v>105</v>
      </c>
      <c r="D24" s="321"/>
      <c r="E24" s="322"/>
      <c r="F24" s="127"/>
      <c r="G24" s="409"/>
      <c r="H24" s="6"/>
      <c r="I24" s="20"/>
      <c r="J24" s="317" t="s">
        <v>105</v>
      </c>
      <c r="K24" s="319"/>
      <c r="L24" s="319"/>
      <c r="M24" s="319"/>
      <c r="N24" s="319"/>
      <c r="O24" s="319"/>
      <c r="P24" s="319"/>
      <c r="Q24" s="319"/>
      <c r="R24" s="319"/>
      <c r="S24" s="319"/>
      <c r="T24" s="319"/>
      <c r="U24" s="319"/>
      <c r="V24" s="319"/>
      <c r="W24" s="319"/>
      <c r="X24" s="318"/>
      <c r="Y24" s="127"/>
      <c r="AA24" s="6"/>
      <c r="AB24" s="317" t="s">
        <v>105</v>
      </c>
      <c r="AC24" s="319"/>
      <c r="AD24" s="319"/>
      <c r="AE24" s="319"/>
      <c r="AF24" s="319"/>
      <c r="AG24" s="319"/>
      <c r="AH24" s="319"/>
      <c r="AI24" s="319"/>
      <c r="AJ24" s="319"/>
      <c r="AK24" s="319"/>
      <c r="AL24" s="319"/>
      <c r="AM24" s="319"/>
      <c r="AN24" s="319"/>
      <c r="AO24" s="319"/>
      <c r="AP24" s="318"/>
      <c r="AQ24" s="127"/>
    </row>
    <row r="25" spans="1:43" x14ac:dyDescent="0.25">
      <c r="B25" s="6"/>
      <c r="C25" s="2" t="s">
        <v>103</v>
      </c>
      <c r="D25" s="214">
        <v>0.08</v>
      </c>
      <c r="E25" s="242"/>
      <c r="F25" s="127"/>
      <c r="G25" s="409"/>
      <c r="H25" s="6"/>
      <c r="I25" s="20"/>
      <c r="J25" s="18"/>
      <c r="K25" s="315"/>
      <c r="L25" s="315"/>
      <c r="M25" s="315"/>
      <c r="N25" s="315">
        <v>0</v>
      </c>
      <c r="O25" s="315">
        <v>1</v>
      </c>
      <c r="P25" s="315">
        <v>2</v>
      </c>
      <c r="Q25" s="315">
        <v>3</v>
      </c>
      <c r="R25" s="315">
        <v>4</v>
      </c>
      <c r="S25" s="315">
        <v>5</v>
      </c>
      <c r="T25" s="315">
        <v>6</v>
      </c>
      <c r="U25" s="315">
        <v>7</v>
      </c>
      <c r="V25" s="315">
        <v>8</v>
      </c>
      <c r="W25" s="315">
        <v>9</v>
      </c>
      <c r="X25" s="316">
        <v>10</v>
      </c>
      <c r="Y25" s="127"/>
      <c r="AA25" s="6"/>
      <c r="AB25" s="18"/>
      <c r="AC25" s="315"/>
      <c r="AD25" s="315"/>
      <c r="AE25" s="315"/>
      <c r="AF25" s="315">
        <v>0</v>
      </c>
      <c r="AG25" s="315">
        <v>1</v>
      </c>
      <c r="AH25" s="315">
        <v>2</v>
      </c>
      <c r="AI25" s="315">
        <v>3</v>
      </c>
      <c r="AJ25" s="315">
        <v>4</v>
      </c>
      <c r="AK25" s="315">
        <v>5</v>
      </c>
      <c r="AL25" s="315">
        <v>6</v>
      </c>
      <c r="AM25" s="315">
        <v>7</v>
      </c>
      <c r="AN25" s="315">
        <v>8</v>
      </c>
      <c r="AO25" s="315">
        <v>9</v>
      </c>
      <c r="AP25" s="316">
        <v>10</v>
      </c>
      <c r="AQ25" s="127"/>
    </row>
    <row r="26" spans="1:43" x14ac:dyDescent="0.25">
      <c r="B26" s="6"/>
      <c r="C26" s="2" t="s">
        <v>118</v>
      </c>
      <c r="D26" s="229" t="s">
        <v>34</v>
      </c>
      <c r="E26" s="83"/>
      <c r="F26" s="127"/>
      <c r="G26" s="409"/>
      <c r="H26" s="6"/>
      <c r="I26" s="20"/>
      <c r="J26" s="2" t="s">
        <v>116</v>
      </c>
      <c r="K26" s="20"/>
      <c r="L26" s="20"/>
      <c r="M26" s="20"/>
      <c r="N26" s="249">
        <f t="shared" ref="N26:X26" si="3">N21</f>
        <v>-3964999.9999999115</v>
      </c>
      <c r="O26" s="249">
        <f t="shared" si="3"/>
        <v>322320.06953694159</v>
      </c>
      <c r="P26" s="249">
        <f t="shared" si="3"/>
        <v>294661.18953694159</v>
      </c>
      <c r="Q26" s="249">
        <f t="shared" si="3"/>
        <v>263156.2691180238</v>
      </c>
      <c r="R26" s="249">
        <f t="shared" si="3"/>
        <v>338766.61332602391</v>
      </c>
      <c r="S26" s="249">
        <f t="shared" si="3"/>
        <v>406540.26786026394</v>
      </c>
      <c r="T26" s="249">
        <f t="shared" ca="1" si="3"/>
        <v>7578559.1844704868</v>
      </c>
      <c r="U26" s="249" t="str">
        <f t="shared" si="3"/>
        <v/>
      </c>
      <c r="V26" s="249" t="str">
        <f t="shared" si="3"/>
        <v/>
      </c>
      <c r="W26" s="249" t="str">
        <f t="shared" si="3"/>
        <v/>
      </c>
      <c r="X26" s="250" t="str">
        <f t="shared" si="3"/>
        <v/>
      </c>
      <c r="Y26" s="127"/>
      <c r="AA26" s="6"/>
      <c r="AB26" s="4"/>
      <c r="AC26" s="339" t="s">
        <v>54</v>
      </c>
      <c r="AD26" s="340" t="s">
        <v>55</v>
      </c>
      <c r="AE26" s="340" t="s">
        <v>114</v>
      </c>
      <c r="AF26" s="21"/>
      <c r="AG26" s="21"/>
      <c r="AH26" s="21"/>
      <c r="AI26" s="21"/>
      <c r="AJ26" s="21"/>
      <c r="AK26" s="21"/>
      <c r="AL26" s="21"/>
      <c r="AM26" s="21"/>
      <c r="AN26" s="21"/>
      <c r="AO26" s="21"/>
      <c r="AP26" s="217"/>
      <c r="AQ26" s="127"/>
    </row>
    <row r="27" spans="1:43" x14ac:dyDescent="0.25">
      <c r="B27" s="6"/>
      <c r="C27" s="2" t="s">
        <v>124</v>
      </c>
      <c r="D27" s="20"/>
      <c r="E27" s="83"/>
      <c r="F27" s="127"/>
      <c r="G27" s="409"/>
      <c r="H27" s="6"/>
      <c r="I27" s="20"/>
      <c r="J27" s="2"/>
      <c r="K27" s="20"/>
      <c r="L27" s="20"/>
      <c r="M27" s="20"/>
      <c r="N27" s="20"/>
      <c r="O27" s="20"/>
      <c r="P27" s="20"/>
      <c r="Q27" s="20"/>
      <c r="R27" s="20"/>
      <c r="S27" s="20"/>
      <c r="T27" s="20"/>
      <c r="U27" s="20"/>
      <c r="V27" s="20"/>
      <c r="W27" s="20"/>
      <c r="X27" s="83"/>
      <c r="Y27" s="127"/>
      <c r="AA27" s="6"/>
      <c r="AB27" s="259" t="s">
        <v>131</v>
      </c>
      <c r="AC27" s="355">
        <f ca="1">IRR(AF27:AP27)</f>
        <v>8.0000000000000071E-2</v>
      </c>
      <c r="AD27" s="356">
        <f ca="1">SUMIF(AF27:AP27,"&gt;0")/-SUMIF(AF27:AP27,"&lt;0")</f>
        <v>1.4822753844900756</v>
      </c>
      <c r="AE27" s="357">
        <f ca="1">SUM(AF27:AP27)</f>
        <v>1912221.8995031072</v>
      </c>
      <c r="AF27" s="265">
        <f>N51</f>
        <v>-3964999.9999999115</v>
      </c>
      <c r="AG27" s="265">
        <f t="shared" ref="AG27:AP27" si="4">O51</f>
        <v>322320.06953694159</v>
      </c>
      <c r="AH27" s="265">
        <f t="shared" si="4"/>
        <v>294661.18953694159</v>
      </c>
      <c r="AI27" s="265">
        <f t="shared" si="4"/>
        <v>263156.2691180238</v>
      </c>
      <c r="AJ27" s="265">
        <f t="shared" si="4"/>
        <v>338766.61332602391</v>
      </c>
      <c r="AK27" s="265">
        <f t="shared" si="4"/>
        <v>406540.26786026394</v>
      </c>
      <c r="AL27" s="265">
        <f t="shared" ca="1" si="4"/>
        <v>4251777.4901248235</v>
      </c>
      <c r="AM27" s="265">
        <f t="shared" ca="1" si="4"/>
        <v>0</v>
      </c>
      <c r="AN27" s="265">
        <f t="shared" ca="1" si="4"/>
        <v>0</v>
      </c>
      <c r="AO27" s="265">
        <f t="shared" ca="1" si="4"/>
        <v>0</v>
      </c>
      <c r="AP27" s="266">
        <f t="shared" ca="1" si="4"/>
        <v>0</v>
      </c>
      <c r="AQ27" s="127"/>
    </row>
    <row r="28" spans="1:43" x14ac:dyDescent="0.25">
      <c r="B28" s="6"/>
      <c r="C28" s="3" t="s">
        <v>125</v>
      </c>
      <c r="D28" s="248">
        <f>D20</f>
        <v>0.8</v>
      </c>
      <c r="E28" s="83"/>
      <c r="F28" s="127"/>
      <c r="G28" s="409"/>
      <c r="H28" s="6"/>
      <c r="I28" s="20"/>
      <c r="J28" s="67" t="s">
        <v>117</v>
      </c>
      <c r="K28" s="20"/>
      <c r="L28" s="20"/>
      <c r="M28" s="20"/>
      <c r="N28" s="20"/>
      <c r="O28" s="20"/>
      <c r="P28" s="20"/>
      <c r="Q28" s="20"/>
      <c r="R28" s="20"/>
      <c r="S28" s="20"/>
      <c r="T28" s="20"/>
      <c r="U28" s="20"/>
      <c r="V28" s="20"/>
      <c r="W28" s="20"/>
      <c r="X28" s="83"/>
      <c r="Y28" s="127"/>
      <c r="AA28" s="6"/>
      <c r="AB28" s="253" t="s">
        <v>125</v>
      </c>
      <c r="AC28" s="358">
        <f t="shared" ref="AC28:AC30" ca="1" si="5">IRR(AF28:AP28)</f>
        <v>7.9999999999999849E-2</v>
      </c>
      <c r="AD28" s="359">
        <f ca="1">SUMIF(AF28:AP28,"&gt;0")/-SUMIF(AF28:AP28,"&lt;0")</f>
        <v>1.4767701772030268</v>
      </c>
      <c r="AE28" s="360">
        <f ca="1">SUM(AF28:AP28)</f>
        <v>1512315.0020879672</v>
      </c>
      <c r="AF28" s="342">
        <f>N52</f>
        <v>-3171999.9999999292</v>
      </c>
      <c r="AG28" s="343">
        <f t="shared" ref="AG28:AP28" si="6">O52</f>
        <v>271427.4269784771</v>
      </c>
      <c r="AH28" s="343">
        <f t="shared" si="6"/>
        <v>248135.73855742448</v>
      </c>
      <c r="AI28" s="343">
        <f t="shared" si="6"/>
        <v>221605.2792572832</v>
      </c>
      <c r="AJ28" s="343">
        <f t="shared" si="6"/>
        <v>285277.14806402015</v>
      </c>
      <c r="AK28" s="343">
        <f t="shared" si="6"/>
        <v>342349.69925074856</v>
      </c>
      <c r="AL28" s="343">
        <f t="shared" ca="1" si="6"/>
        <v>3315519.709979943</v>
      </c>
      <c r="AM28" s="343">
        <f t="shared" ca="1" si="6"/>
        <v>0</v>
      </c>
      <c r="AN28" s="343">
        <f t="shared" ca="1" si="6"/>
        <v>0</v>
      </c>
      <c r="AO28" s="343">
        <f t="shared" ca="1" si="6"/>
        <v>0</v>
      </c>
      <c r="AP28" s="344">
        <f t="shared" ca="1" si="6"/>
        <v>0</v>
      </c>
      <c r="AQ28" s="127"/>
    </row>
    <row r="29" spans="1:43" x14ac:dyDescent="0.25">
      <c r="B29" s="6"/>
      <c r="C29" s="3" t="s">
        <v>126</v>
      </c>
      <c r="D29" s="248">
        <f>D21</f>
        <v>0.15</v>
      </c>
      <c r="E29" s="83"/>
      <c r="F29" s="127"/>
      <c r="G29" s="409"/>
      <c r="H29" s="6"/>
      <c r="I29" s="20"/>
      <c r="J29" s="2" t="s">
        <v>120</v>
      </c>
      <c r="K29" s="20"/>
      <c r="L29" s="20"/>
      <c r="M29" s="20"/>
      <c r="N29" s="234">
        <f>-SUM(E20:E21)</f>
        <v>3766749.9999999162</v>
      </c>
      <c r="O29" s="234">
        <f>N34</f>
        <v>3766749.9999999162</v>
      </c>
      <c r="P29" s="234">
        <f t="shared" ref="P29:X29" si="7">O34</f>
        <v>3745769.9304629681</v>
      </c>
      <c r="Q29" s="234">
        <f t="shared" si="7"/>
        <v>3750770.335363064</v>
      </c>
      <c r="R29" s="234">
        <f t="shared" si="7"/>
        <v>3787675.6930740848</v>
      </c>
      <c r="S29" s="234">
        <f t="shared" si="7"/>
        <v>3751923.1351939877</v>
      </c>
      <c r="T29" s="234">
        <f t="shared" si="7"/>
        <v>3645536.7181492429</v>
      </c>
      <c r="U29" s="234">
        <f t="shared" ca="1" si="7"/>
        <v>0</v>
      </c>
      <c r="V29" s="234">
        <f t="shared" ca="1" si="7"/>
        <v>0</v>
      </c>
      <c r="W29" s="234">
        <f t="shared" ca="1" si="7"/>
        <v>0</v>
      </c>
      <c r="X29" s="235">
        <f t="shared" ca="1" si="7"/>
        <v>0</v>
      </c>
      <c r="Y29" s="127"/>
      <c r="AA29" s="6"/>
      <c r="AB29" s="253" t="s">
        <v>126</v>
      </c>
      <c r="AC29" s="358">
        <f ca="1">IFERROR(IRR(AF29:AP29),"")</f>
        <v>7.9999999999999849E-2</v>
      </c>
      <c r="AD29" s="359">
        <f ca="1">IFERROR(SUMIF(AF29:AP29,"&gt;0")/-SUMIF(AF29:AP29,"&lt;0"),"")</f>
        <v>1.4767701772030266</v>
      </c>
      <c r="AE29" s="360">
        <f t="shared" ref="AE29:AE30" ca="1" si="8">SUM(AF29:AP29)</f>
        <v>283559.06289149378</v>
      </c>
      <c r="AF29" s="345">
        <f t="shared" ref="AF29:AP29" si="9">N53</f>
        <v>-594749.99999998673</v>
      </c>
      <c r="AG29" s="341">
        <f t="shared" si="9"/>
        <v>50892.64255846446</v>
      </c>
      <c r="AH29" s="341">
        <f t="shared" si="9"/>
        <v>46525.450979517089</v>
      </c>
      <c r="AI29" s="341">
        <f t="shared" si="9"/>
        <v>41550.989860740599</v>
      </c>
      <c r="AJ29" s="341">
        <f t="shared" si="9"/>
        <v>53489.465262003774</v>
      </c>
      <c r="AK29" s="341">
        <f t="shared" si="9"/>
        <v>64190.568609515358</v>
      </c>
      <c r="AL29" s="341">
        <f t="shared" ca="1" si="9"/>
        <v>621659.94562123925</v>
      </c>
      <c r="AM29" s="341">
        <f t="shared" ca="1" si="9"/>
        <v>0</v>
      </c>
      <c r="AN29" s="341">
        <f t="shared" ca="1" si="9"/>
        <v>0</v>
      </c>
      <c r="AO29" s="341">
        <f t="shared" ca="1" si="9"/>
        <v>0</v>
      </c>
      <c r="AP29" s="346">
        <f t="shared" ca="1" si="9"/>
        <v>0</v>
      </c>
      <c r="AQ29" s="127"/>
    </row>
    <row r="30" spans="1:43" x14ac:dyDescent="0.25">
      <c r="B30" s="6"/>
      <c r="C30" s="132" t="s">
        <v>108</v>
      </c>
      <c r="D30" s="211">
        <f>1-D28-D29</f>
        <v>4.9999999999999961E-2</v>
      </c>
      <c r="E30" s="217"/>
      <c r="F30" s="127"/>
      <c r="G30" s="409"/>
      <c r="H30" s="6"/>
      <c r="I30" s="20"/>
      <c r="J30" s="2" t="s">
        <v>119</v>
      </c>
      <c r="K30" s="20"/>
      <c r="L30" s="20"/>
      <c r="M30" s="20"/>
      <c r="N30" s="234"/>
      <c r="O30" s="249">
        <f t="shared" ref="O30:X30" si="10">O29*$D$25</f>
        <v>301339.99999999331</v>
      </c>
      <c r="P30" s="249">
        <f t="shared" si="10"/>
        <v>299661.59443703748</v>
      </c>
      <c r="Q30" s="249">
        <f t="shared" si="10"/>
        <v>300061.62682904513</v>
      </c>
      <c r="R30" s="249">
        <f t="shared" si="10"/>
        <v>303014.05544592679</v>
      </c>
      <c r="S30" s="249">
        <f t="shared" si="10"/>
        <v>300153.85081551905</v>
      </c>
      <c r="T30" s="249">
        <f t="shared" si="10"/>
        <v>291642.93745193945</v>
      </c>
      <c r="U30" s="249">
        <f t="shared" ca="1" si="10"/>
        <v>0</v>
      </c>
      <c r="V30" s="249">
        <f t="shared" ca="1" si="10"/>
        <v>0</v>
      </c>
      <c r="W30" s="249">
        <f t="shared" ca="1" si="10"/>
        <v>0</v>
      </c>
      <c r="X30" s="250">
        <f t="shared" ca="1" si="10"/>
        <v>0</v>
      </c>
      <c r="Y30" s="127"/>
      <c r="AA30" s="6"/>
      <c r="AB30" s="256" t="s">
        <v>108</v>
      </c>
      <c r="AC30" s="361">
        <f t="shared" ca="1" si="5"/>
        <v>8.0000000000000071E-2</v>
      </c>
      <c r="AD30" s="362">
        <f t="shared" ref="AD30" ca="1" si="11">SUMIF(AF30:AP30,"&gt;0")/-SUMIF(AF30:AP30,"&lt;0")</f>
        <v>1.5868743229439999</v>
      </c>
      <c r="AE30" s="363">
        <f t="shared" ca="1" si="8"/>
        <v>116347.83452364532</v>
      </c>
      <c r="AF30" s="347">
        <f t="shared" ref="AF30:AP30" si="12">N54</f>
        <v>-198249.99999999543</v>
      </c>
      <c r="AG30" s="332">
        <f t="shared" si="12"/>
        <v>0</v>
      </c>
      <c r="AH30" s="332">
        <f t="shared" si="12"/>
        <v>0</v>
      </c>
      <c r="AI30" s="332">
        <f t="shared" si="12"/>
        <v>0</v>
      </c>
      <c r="AJ30" s="332">
        <f t="shared" si="12"/>
        <v>0</v>
      </c>
      <c r="AK30" s="332">
        <f t="shared" si="12"/>
        <v>0</v>
      </c>
      <c r="AL30" s="332">
        <f t="shared" ca="1" si="12"/>
        <v>314597.83452364075</v>
      </c>
      <c r="AM30" s="332">
        <f t="shared" ca="1" si="12"/>
        <v>0</v>
      </c>
      <c r="AN30" s="332">
        <f t="shared" ca="1" si="12"/>
        <v>0</v>
      </c>
      <c r="AO30" s="332">
        <f t="shared" ca="1" si="12"/>
        <v>0</v>
      </c>
      <c r="AP30" s="333">
        <f t="shared" ca="1" si="12"/>
        <v>0</v>
      </c>
      <c r="AQ30" s="127"/>
    </row>
    <row r="31" spans="1:43" x14ac:dyDescent="0.25">
      <c r="B31" s="6"/>
      <c r="C31" s="320" t="s">
        <v>172</v>
      </c>
      <c r="D31" s="321"/>
      <c r="E31" s="322"/>
      <c r="F31" s="127"/>
      <c r="G31" s="409"/>
      <c r="H31" s="6"/>
      <c r="I31" s="20"/>
      <c r="J31" s="2" t="s">
        <v>130</v>
      </c>
      <c r="K31" s="19"/>
      <c r="L31" s="20"/>
      <c r="M31" s="20"/>
      <c r="N31" s="234"/>
      <c r="O31" s="249">
        <f>IFERROR(AND($D$26="yes",O26&gt;0)*-MIN(O26,SUM(O30,$N$30:N31))+AND($D$26="no",O26&gt;0)*-MIN(O26*SUM($D$28:$D$29),SUM(O30,$N$30:N31)),0)</f>
        <v>-301339.99999999331</v>
      </c>
      <c r="P31" s="249">
        <f>IFERROR(AND($D$26="yes",P26&gt;0)*-MIN(P26,SUM(P30,$N$30:O31))+AND($D$26="no",P26&gt;0)*-MIN(P26*SUM($D$28:$D$29),SUM(P30,$N$30:O31)),0)</f>
        <v>-294661.18953694159</v>
      </c>
      <c r="Q31" s="249">
        <f>IFERROR(AND($D$26="yes",Q26&gt;0)*-MIN(Q26,SUM(Q30,$N$30:P31))+AND($D$26="no",Q26&gt;0)*-MIN(Q26*SUM($D$28:$D$29),SUM(Q30,$N$30:P31)),0)</f>
        <v>-263156.2691180238</v>
      </c>
      <c r="R31" s="249">
        <f>IFERROR(AND($D$26="yes",R26&gt;0)*-MIN(R26,SUM(R30,$N$30:Q31))+AND($D$26="no",R26&gt;0)*-MIN(R26*SUM($D$28:$D$29),SUM(R30,$N$30:Q31)),0)</f>
        <v>-338766.61332602391</v>
      </c>
      <c r="S31" s="249">
        <f>IFERROR(AND($D$26="yes",S26&gt;0)*-MIN(S26,SUM(S30,$N$30:R31))+AND($D$26="no",S26&gt;0)*-MIN(S26*SUM($D$28:$D$29),SUM(S30,$N$30:R31)),0)</f>
        <v>-306307.05554653914</v>
      </c>
      <c r="T31" s="249">
        <f ca="1">IFERROR(AND($D$26="yes",T26&gt;0)*-MIN(T26,SUM(T30,$N$30:S31))+AND($D$26="no",T26&gt;0)*-MIN(T26*SUM($D$28:$D$29),SUM(T30,$N$30:S31)),0)</f>
        <v>-291642.93745193945</v>
      </c>
      <c r="U31" s="249">
        <f ca="1">IFERROR(AND($D$26="yes",U26&gt;0)*-MIN(U26,SUM(U30,$N$30:T31))+AND($D$26="no",U26&gt;0)*-MIN(U26*SUM($D$28:$D$29),SUM(U30,$N$30:T31)),0)</f>
        <v>0</v>
      </c>
      <c r="V31" s="249">
        <f ca="1">IFERROR(AND($D$26="yes",V26&gt;0)*-MIN(V26,SUM(V30,$N$30:U31))+AND($D$26="no",V26&gt;0)*-MIN(V26*SUM($D$28:$D$29),SUM(V30,$N$30:U31)),0)</f>
        <v>0</v>
      </c>
      <c r="W31" s="249">
        <f ca="1">IFERROR(AND($D$26="yes",W26&gt;0)*-MIN(W26,SUM(W30,$N$30:V31))+AND($D$26="no",W26&gt;0)*-MIN(W26*SUM($D$28:$D$29),SUM(W30,$N$30:V31)),0)</f>
        <v>0</v>
      </c>
      <c r="X31" s="250">
        <f ca="1">IFERROR(AND($D$26="yes",X26&gt;0)*-MIN(X26,SUM(X30,$N$30:W31))+AND($D$26="no",X26&gt;0)*-MIN(X26*SUM($D$28:$D$29),SUM(X30,$N$30:W31)),0)</f>
        <v>0</v>
      </c>
      <c r="Y31" s="393"/>
      <c r="Z31" s="407"/>
      <c r="AA31" s="394"/>
      <c r="AB31" s="20"/>
      <c r="AC31" s="20"/>
      <c r="AD31" s="20"/>
      <c r="AE31" s="20"/>
      <c r="AF31" s="20"/>
      <c r="AG31" s="20"/>
      <c r="AH31" s="20"/>
      <c r="AI31" s="20"/>
      <c r="AJ31" s="20"/>
      <c r="AK31" s="20"/>
      <c r="AL31" s="20"/>
      <c r="AM31" s="20"/>
      <c r="AN31" s="20"/>
      <c r="AO31" s="20"/>
      <c r="AP31" s="20"/>
      <c r="AQ31" s="127"/>
    </row>
    <row r="32" spans="1:43" x14ac:dyDescent="0.25">
      <c r="B32" s="6"/>
      <c r="C32" s="114" t="s">
        <v>141</v>
      </c>
      <c r="D32" s="276" t="s">
        <v>45</v>
      </c>
      <c r="E32" s="261"/>
      <c r="F32" s="127"/>
      <c r="G32" s="409"/>
      <c r="H32" s="6"/>
      <c r="I32" s="20"/>
      <c r="J32" s="2" t="s">
        <v>121</v>
      </c>
      <c r="K32" s="20"/>
      <c r="L32" s="20"/>
      <c r="M32" s="20"/>
      <c r="N32" s="234"/>
      <c r="O32" s="249">
        <f>-IFERROR((O26&lt;0)*(O26*SUM($D$28:$D$29)),0)</f>
        <v>0</v>
      </c>
      <c r="P32" s="249">
        <f t="shared" ref="P32:X32" si="13">-IFERROR((P26&lt;0)*(P26*SUM($D$28:$D$29)),0)</f>
        <v>0</v>
      </c>
      <c r="Q32" s="249">
        <f t="shared" si="13"/>
        <v>0</v>
      </c>
      <c r="R32" s="249">
        <f t="shared" si="13"/>
        <v>0</v>
      </c>
      <c r="S32" s="249">
        <f t="shared" si="13"/>
        <v>0</v>
      </c>
      <c r="T32" s="249">
        <f t="shared" ca="1" si="13"/>
        <v>0</v>
      </c>
      <c r="U32" s="249">
        <f t="shared" si="13"/>
        <v>0</v>
      </c>
      <c r="V32" s="249">
        <f t="shared" si="13"/>
        <v>0</v>
      </c>
      <c r="W32" s="249">
        <f t="shared" si="13"/>
        <v>0</v>
      </c>
      <c r="X32" s="250">
        <f t="shared" si="13"/>
        <v>0</v>
      </c>
      <c r="Y32" s="127"/>
      <c r="AA32" s="6"/>
      <c r="AB32" s="317" t="s">
        <v>172</v>
      </c>
      <c r="AC32" s="319"/>
      <c r="AD32" s="319"/>
      <c r="AE32" s="319"/>
      <c r="AF32" s="319"/>
      <c r="AG32" s="319"/>
      <c r="AH32" s="319"/>
      <c r="AI32" s="319"/>
      <c r="AJ32" s="319"/>
      <c r="AK32" s="319"/>
      <c r="AL32" s="319"/>
      <c r="AM32" s="319"/>
      <c r="AN32" s="319"/>
      <c r="AO32" s="319"/>
      <c r="AP32" s="318"/>
      <c r="AQ32" s="127"/>
    </row>
    <row r="33" spans="2:44" ht="29.25" customHeight="1" x14ac:dyDescent="0.25">
      <c r="B33" s="6"/>
      <c r="C33" s="274" t="s">
        <v>150</v>
      </c>
      <c r="D33" s="275">
        <v>0.08</v>
      </c>
      <c r="E33" s="273" t="str">
        <f ca="1">IF(D33&lt;D30,"Must be Higher than Tier 1 Sponsor Split",IF(ROUND(D33,4)&lt;&gt;ROUND(L69,4),"Must Use Solver or Goal Seek",""))</f>
        <v>Must Use Solver or Goal Seek</v>
      </c>
      <c r="F33" s="127"/>
      <c r="G33" s="409"/>
      <c r="H33" s="6"/>
      <c r="I33" s="20"/>
      <c r="J33" s="4" t="s">
        <v>122</v>
      </c>
      <c r="K33" s="237">
        <f ca="1">SUM(O33:X33)</f>
        <v>-3766749.9999999162</v>
      </c>
      <c r="L33" s="21"/>
      <c r="M33" s="21"/>
      <c r="N33" s="237"/>
      <c r="O33" s="243">
        <f t="shared" ref="O33:X33" si="14">IFERROR(AND(O26&gt;0,$D$26="yes")*-MIN(SUM(O29:O31),O26+O31)+AND(O26&gt;0,$D$26="no")*-MIN(SUM(O29:O31),(O26*SUM($D$28:$D$29)+O31)),0)</f>
        <v>-20980.069536948286</v>
      </c>
      <c r="P33" s="243">
        <f t="shared" si="14"/>
        <v>0</v>
      </c>
      <c r="Q33" s="243">
        <f t="shared" si="14"/>
        <v>0</v>
      </c>
      <c r="R33" s="243">
        <f t="shared" si="14"/>
        <v>0</v>
      </c>
      <c r="S33" s="243">
        <f t="shared" si="14"/>
        <v>-100233.2123137248</v>
      </c>
      <c r="T33" s="243">
        <f t="shared" ca="1" si="14"/>
        <v>-3645536.7181492429</v>
      </c>
      <c r="U33" s="243">
        <f t="shared" ca="1" si="14"/>
        <v>0</v>
      </c>
      <c r="V33" s="243">
        <f t="shared" ca="1" si="14"/>
        <v>0</v>
      </c>
      <c r="W33" s="243">
        <f t="shared" ca="1" si="14"/>
        <v>0</v>
      </c>
      <c r="X33" s="251">
        <f t="shared" ca="1" si="14"/>
        <v>0</v>
      </c>
      <c r="Y33" s="127"/>
      <c r="AA33" s="6"/>
      <c r="AB33" s="18"/>
      <c r="AC33" s="315"/>
      <c r="AD33" s="315"/>
      <c r="AE33" s="315"/>
      <c r="AF33" s="315">
        <v>0</v>
      </c>
      <c r="AG33" s="315">
        <v>1</v>
      </c>
      <c r="AH33" s="315">
        <v>2</v>
      </c>
      <c r="AI33" s="315">
        <v>3</v>
      </c>
      <c r="AJ33" s="315">
        <v>4</v>
      </c>
      <c r="AK33" s="315">
        <v>5</v>
      </c>
      <c r="AL33" s="315">
        <v>6</v>
      </c>
      <c r="AM33" s="315">
        <v>7</v>
      </c>
      <c r="AN33" s="315">
        <v>8</v>
      </c>
      <c r="AO33" s="315">
        <v>9</v>
      </c>
      <c r="AP33" s="316">
        <v>10</v>
      </c>
      <c r="AQ33" s="127"/>
    </row>
    <row r="34" spans="2:44" x14ac:dyDescent="0.25">
      <c r="B34" s="6"/>
      <c r="C34" s="49" t="s">
        <v>133</v>
      </c>
      <c r="D34" s="260">
        <f>1-D33</f>
        <v>0.92</v>
      </c>
      <c r="E34" s="213"/>
      <c r="F34" s="127"/>
      <c r="G34" s="409"/>
      <c r="H34" s="6"/>
      <c r="I34" s="20"/>
      <c r="J34" s="309" t="s">
        <v>123</v>
      </c>
      <c r="K34" s="336"/>
      <c r="L34" s="336"/>
      <c r="M34" s="336"/>
      <c r="N34" s="310">
        <f>SUM(N29:N33)</f>
        <v>3766749.9999999162</v>
      </c>
      <c r="O34" s="310">
        <f>SUM(O29:O33)</f>
        <v>3745769.9304629681</v>
      </c>
      <c r="P34" s="310">
        <f t="shared" ref="P34:X34" si="15">SUM(P29:P33)</f>
        <v>3750770.335363064</v>
      </c>
      <c r="Q34" s="310">
        <f t="shared" si="15"/>
        <v>3787675.6930740848</v>
      </c>
      <c r="R34" s="310">
        <f t="shared" si="15"/>
        <v>3751923.1351939877</v>
      </c>
      <c r="S34" s="310">
        <f t="shared" si="15"/>
        <v>3645536.7181492429</v>
      </c>
      <c r="T34" s="310">
        <f t="shared" ca="1" si="15"/>
        <v>0</v>
      </c>
      <c r="U34" s="310">
        <f t="shared" ca="1" si="15"/>
        <v>0</v>
      </c>
      <c r="V34" s="310">
        <f t="shared" ca="1" si="15"/>
        <v>0</v>
      </c>
      <c r="W34" s="310">
        <f t="shared" ca="1" si="15"/>
        <v>0</v>
      </c>
      <c r="X34" s="311">
        <f t="shared" ca="1" si="15"/>
        <v>0</v>
      </c>
      <c r="Y34" s="127"/>
      <c r="AA34" s="6"/>
      <c r="AB34" s="114"/>
      <c r="AC34" s="338" t="s">
        <v>54</v>
      </c>
      <c r="AD34" s="338" t="s">
        <v>55</v>
      </c>
      <c r="AE34" s="338" t="s">
        <v>114</v>
      </c>
      <c r="AF34" s="50"/>
      <c r="AG34" s="50"/>
      <c r="AH34" s="50"/>
      <c r="AI34" s="50"/>
      <c r="AJ34" s="50"/>
      <c r="AK34" s="50"/>
      <c r="AL34" s="50"/>
      <c r="AM34" s="50"/>
      <c r="AN34" s="50"/>
      <c r="AO34" s="50"/>
      <c r="AP34" s="213"/>
      <c r="AQ34" s="127"/>
    </row>
    <row r="35" spans="2:44" x14ac:dyDescent="0.25">
      <c r="B35" s="6"/>
      <c r="C35" s="264" t="s">
        <v>134</v>
      </c>
      <c r="D35" s="50"/>
      <c r="E35" s="213"/>
      <c r="F35" s="127"/>
      <c r="G35" s="409"/>
      <c r="H35" s="6"/>
      <c r="I35" s="20"/>
      <c r="J35" s="2"/>
      <c r="K35" s="20"/>
      <c r="L35" s="20"/>
      <c r="M35" s="20"/>
      <c r="N35" s="20"/>
      <c r="O35" s="20"/>
      <c r="P35" s="20"/>
      <c r="Q35" s="20"/>
      <c r="R35" s="20"/>
      <c r="S35" s="20"/>
      <c r="T35" s="20"/>
      <c r="U35" s="20"/>
      <c r="V35" s="20"/>
      <c r="W35" s="20"/>
      <c r="X35" s="83"/>
      <c r="Y35" s="127"/>
      <c r="AA35" s="6"/>
      <c r="AB35" s="308" t="s">
        <v>147</v>
      </c>
      <c r="AC35" s="365">
        <f ca="1">IRR(AF35:AP35)</f>
        <v>8.2505732941116294E-2</v>
      </c>
      <c r="AD35" s="366">
        <f ca="1">SUMIF(AF35:AP35,"&gt;0")/-SUMIF(AF35:AP35,"&lt;0")</f>
        <v>1.5008575618755318</v>
      </c>
      <c r="AE35" s="367">
        <f ca="1">SUM(AF35:AP35)</f>
        <v>1985900.2328364402</v>
      </c>
      <c r="AF35" s="349">
        <f t="shared" ref="AF35:AP38" si="16">N84</f>
        <v>-3964999.9999999115</v>
      </c>
      <c r="AG35" s="350">
        <f t="shared" si="16"/>
        <v>322320.06953694159</v>
      </c>
      <c r="AH35" s="350">
        <f t="shared" si="16"/>
        <v>294661.18953694159</v>
      </c>
      <c r="AI35" s="350">
        <f t="shared" si="16"/>
        <v>263156.2691180238</v>
      </c>
      <c r="AJ35" s="350">
        <f t="shared" si="16"/>
        <v>338766.61332602391</v>
      </c>
      <c r="AK35" s="350">
        <f t="shared" si="16"/>
        <v>406540.26786026394</v>
      </c>
      <c r="AL35" s="350">
        <f t="shared" ca="1" si="16"/>
        <v>4325455.8234581565</v>
      </c>
      <c r="AM35" s="350">
        <f t="shared" ca="1" si="16"/>
        <v>0</v>
      </c>
      <c r="AN35" s="350">
        <f t="shared" ca="1" si="16"/>
        <v>0</v>
      </c>
      <c r="AO35" s="350">
        <f t="shared" ca="1" si="16"/>
        <v>0</v>
      </c>
      <c r="AP35" s="351">
        <f t="shared" ca="1" si="16"/>
        <v>0</v>
      </c>
      <c r="AQ35" s="127"/>
    </row>
    <row r="36" spans="2:44" x14ac:dyDescent="0.25">
      <c r="B36" s="6"/>
      <c r="C36" s="3" t="s">
        <v>108</v>
      </c>
      <c r="D36" s="262">
        <v>0.6</v>
      </c>
      <c r="E36" s="83"/>
      <c r="F36" s="127"/>
      <c r="G36" s="409"/>
      <c r="H36" s="6"/>
      <c r="I36" s="20"/>
      <c r="J36" s="67" t="s">
        <v>127</v>
      </c>
      <c r="K36" s="334">
        <f ca="1">IRR(N36:X36)</f>
        <v>8.0000000000000071E-2</v>
      </c>
      <c r="L36" s="69"/>
      <c r="M36" s="69"/>
      <c r="N36" s="231">
        <f>-N34</f>
        <v>-3766749.9999999162</v>
      </c>
      <c r="O36" s="231">
        <f>-SUM(O31:O33)</f>
        <v>322320.06953694159</v>
      </c>
      <c r="P36" s="231">
        <f t="shared" ref="P36:X36" si="17">-SUM(P31:P33)</f>
        <v>294661.18953694159</v>
      </c>
      <c r="Q36" s="231">
        <f t="shared" si="17"/>
        <v>263156.2691180238</v>
      </c>
      <c r="R36" s="231">
        <f>-SUM(R31:R33)</f>
        <v>338766.61332602391</v>
      </c>
      <c r="S36" s="231">
        <f t="shared" si="17"/>
        <v>406540.26786026394</v>
      </c>
      <c r="T36" s="231">
        <f t="shared" ca="1" si="17"/>
        <v>3937179.6556011825</v>
      </c>
      <c r="U36" s="231">
        <f t="shared" ca="1" si="17"/>
        <v>0</v>
      </c>
      <c r="V36" s="231">
        <f t="shared" ca="1" si="17"/>
        <v>0</v>
      </c>
      <c r="W36" s="231">
        <f t="shared" ca="1" si="17"/>
        <v>0</v>
      </c>
      <c r="X36" s="232">
        <f t="shared" ca="1" si="17"/>
        <v>0</v>
      </c>
      <c r="Y36" s="127"/>
      <c r="AA36" s="6"/>
      <c r="AB36" s="285" t="s">
        <v>125</v>
      </c>
      <c r="AC36" s="252">
        <f t="shared" ref="AC36:AC38" ca="1" si="18">IRR(AF36:AP36)</f>
        <v>8.1069909192471368E-2</v>
      </c>
      <c r="AD36" s="368">
        <f ca="1">SUMIF(AF36:AP36,"&gt;0")/-SUMIF(AF36:AP36,"&lt;0")</f>
        <v>1.48459425189164</v>
      </c>
      <c r="AE36" s="369">
        <f ca="1">SUM(AF36:AP36)</f>
        <v>1537132.9670002481</v>
      </c>
      <c r="AF36" s="352">
        <f t="shared" si="16"/>
        <v>-3171999.9999999292</v>
      </c>
      <c r="AG36" s="353">
        <f t="shared" si="16"/>
        <v>271427.4269784771</v>
      </c>
      <c r="AH36" s="353">
        <f t="shared" si="16"/>
        <v>248135.73855742448</v>
      </c>
      <c r="AI36" s="353">
        <f t="shared" si="16"/>
        <v>221605.2792572832</v>
      </c>
      <c r="AJ36" s="353">
        <f t="shared" si="16"/>
        <v>285277.14806402015</v>
      </c>
      <c r="AK36" s="353">
        <f t="shared" si="16"/>
        <v>342349.69925074856</v>
      </c>
      <c r="AL36" s="353">
        <f t="shared" ca="1" si="16"/>
        <v>3340337.6748922239</v>
      </c>
      <c r="AM36" s="353">
        <f t="shared" ca="1" si="16"/>
        <v>0</v>
      </c>
      <c r="AN36" s="353">
        <f t="shared" ca="1" si="16"/>
        <v>0</v>
      </c>
      <c r="AO36" s="353">
        <f t="shared" ca="1" si="16"/>
        <v>0</v>
      </c>
      <c r="AP36" s="354">
        <f t="shared" ca="1" si="16"/>
        <v>0</v>
      </c>
      <c r="AQ36" s="127"/>
    </row>
    <row r="37" spans="2:44" x14ac:dyDescent="0.25">
      <c r="B37" s="6"/>
      <c r="C37" s="3" t="s">
        <v>133</v>
      </c>
      <c r="D37" s="263">
        <f>1-D36</f>
        <v>0.4</v>
      </c>
      <c r="E37" s="83"/>
      <c r="F37" s="127"/>
      <c r="G37" s="409"/>
      <c r="H37" s="6"/>
      <c r="I37" s="20"/>
      <c r="J37" s="3" t="s">
        <v>128</v>
      </c>
      <c r="K37" s="138">
        <f ca="1">IRR(N37:X37)</f>
        <v>7.9999999999999849E-2</v>
      </c>
      <c r="L37" s="20"/>
      <c r="M37" s="20"/>
      <c r="N37" s="234">
        <f t="shared" ref="N37:X37" si="19">N$36*($D28/SUM($D$28:$D$29))</f>
        <v>-3171999.9999999292</v>
      </c>
      <c r="O37" s="234">
        <f t="shared" si="19"/>
        <v>271427.4269784771</v>
      </c>
      <c r="P37" s="234">
        <f t="shared" si="19"/>
        <v>248135.73855742448</v>
      </c>
      <c r="Q37" s="234">
        <f t="shared" si="19"/>
        <v>221605.2792572832</v>
      </c>
      <c r="R37" s="234">
        <f t="shared" si="19"/>
        <v>285277.14806402015</v>
      </c>
      <c r="S37" s="234">
        <f t="shared" si="19"/>
        <v>342349.69925074856</v>
      </c>
      <c r="T37" s="234">
        <f t="shared" ca="1" si="19"/>
        <v>3315519.709979943</v>
      </c>
      <c r="U37" s="234">
        <f t="shared" ca="1" si="19"/>
        <v>0</v>
      </c>
      <c r="V37" s="234">
        <f t="shared" ca="1" si="19"/>
        <v>0</v>
      </c>
      <c r="W37" s="234">
        <f t="shared" ca="1" si="19"/>
        <v>0</v>
      </c>
      <c r="X37" s="235">
        <f t="shared" ca="1" si="19"/>
        <v>0</v>
      </c>
      <c r="Y37" s="127"/>
      <c r="AA37" s="6"/>
      <c r="AB37" s="285" t="s">
        <v>126</v>
      </c>
      <c r="AC37" s="252">
        <f ca="1">IFERROR(IRR(AF37:AP37),"")</f>
        <v>8.1069909192470924E-2</v>
      </c>
      <c r="AD37" s="368">
        <f ca="1">IFERROR(SUMIF(AF37:AP37,"&gt;0")/-SUMIF(AF37:AP37,"&lt;0"),"")</f>
        <v>1.4845942518916397</v>
      </c>
      <c r="AE37" s="369">
        <f t="shared" ref="AE37:AE38" ca="1" si="20">SUM(AF37:AP37)</f>
        <v>288212.43131254637</v>
      </c>
      <c r="AF37" s="287">
        <f t="shared" si="16"/>
        <v>-594749.99999998673</v>
      </c>
      <c r="AG37" s="254">
        <f t="shared" si="16"/>
        <v>50892.64255846446</v>
      </c>
      <c r="AH37" s="254">
        <f t="shared" si="16"/>
        <v>46525.450979517089</v>
      </c>
      <c r="AI37" s="254">
        <f t="shared" si="16"/>
        <v>41550.989860740599</v>
      </c>
      <c r="AJ37" s="254">
        <f t="shared" si="16"/>
        <v>53489.465262003774</v>
      </c>
      <c r="AK37" s="254">
        <f t="shared" si="16"/>
        <v>64190.568609515358</v>
      </c>
      <c r="AL37" s="254">
        <f t="shared" ca="1" si="16"/>
        <v>626313.31404229184</v>
      </c>
      <c r="AM37" s="254">
        <f t="shared" ca="1" si="16"/>
        <v>0</v>
      </c>
      <c r="AN37" s="254">
        <f t="shared" ca="1" si="16"/>
        <v>0</v>
      </c>
      <c r="AO37" s="254">
        <f t="shared" ca="1" si="16"/>
        <v>0</v>
      </c>
      <c r="AP37" s="255">
        <f t="shared" ca="1" si="16"/>
        <v>0</v>
      </c>
      <c r="AQ37" s="127"/>
    </row>
    <row r="38" spans="2:44" x14ac:dyDescent="0.25">
      <c r="B38" s="6"/>
      <c r="C38" s="55" t="s">
        <v>125</v>
      </c>
      <c r="D38" s="39">
        <f>(1-D36)*$D$20/SUM($D$20:$D$21)</f>
        <v>0.33684210526315794</v>
      </c>
      <c r="E38" s="83"/>
      <c r="F38" s="127"/>
      <c r="G38" s="409"/>
      <c r="H38" s="6"/>
      <c r="I38" s="20"/>
      <c r="J38" s="132" t="s">
        <v>129</v>
      </c>
      <c r="K38" s="219">
        <f ca="1">IFERROR(IRR(N38:X38),"")</f>
        <v>7.9999999999999849E-2</v>
      </c>
      <c r="L38" s="21"/>
      <c r="M38" s="21"/>
      <c r="N38" s="237">
        <f t="shared" ref="N38:X38" si="21">N$36*($D29/SUM($D$28:$D$29))</f>
        <v>-594749.99999998673</v>
      </c>
      <c r="O38" s="237">
        <f t="shared" si="21"/>
        <v>50892.64255846446</v>
      </c>
      <c r="P38" s="237">
        <f t="shared" si="21"/>
        <v>46525.450979517089</v>
      </c>
      <c r="Q38" s="237">
        <f t="shared" si="21"/>
        <v>41550.989860740599</v>
      </c>
      <c r="R38" s="237">
        <f t="shared" si="21"/>
        <v>53489.465262003774</v>
      </c>
      <c r="S38" s="237">
        <f t="shared" si="21"/>
        <v>64190.568609515358</v>
      </c>
      <c r="T38" s="237">
        <f t="shared" ca="1" si="21"/>
        <v>621659.94562123925</v>
      </c>
      <c r="U38" s="237">
        <f t="shared" ca="1" si="21"/>
        <v>0</v>
      </c>
      <c r="V38" s="237">
        <f t="shared" ca="1" si="21"/>
        <v>0</v>
      </c>
      <c r="W38" s="237">
        <f t="shared" ca="1" si="21"/>
        <v>0</v>
      </c>
      <c r="X38" s="238">
        <f t="shared" ca="1" si="21"/>
        <v>0</v>
      </c>
      <c r="Y38" s="127"/>
      <c r="AA38" s="6"/>
      <c r="AB38" s="286" t="s">
        <v>108</v>
      </c>
      <c r="AC38" s="370">
        <f t="shared" ca="1" si="18"/>
        <v>0.10392825274507511</v>
      </c>
      <c r="AD38" s="371">
        <f t="shared" ref="AD38" ca="1" si="22">SUMIF(AF38:AP38,"&gt;0")/-SUMIF(AF38:AP38,"&lt;0")</f>
        <v>1.8098604515694781</v>
      </c>
      <c r="AE38" s="372">
        <f t="shared" ca="1" si="20"/>
        <v>160554.83452364532</v>
      </c>
      <c r="AF38" s="288">
        <f t="shared" si="16"/>
        <v>-198249.99999999543</v>
      </c>
      <c r="AG38" s="257">
        <f t="shared" si="16"/>
        <v>0</v>
      </c>
      <c r="AH38" s="257">
        <f t="shared" si="16"/>
        <v>0</v>
      </c>
      <c r="AI38" s="257">
        <f t="shared" si="16"/>
        <v>0</v>
      </c>
      <c r="AJ38" s="257">
        <f t="shared" si="16"/>
        <v>0</v>
      </c>
      <c r="AK38" s="257">
        <f t="shared" si="16"/>
        <v>0</v>
      </c>
      <c r="AL38" s="257">
        <f t="shared" ca="1" si="16"/>
        <v>358804.83452364075</v>
      </c>
      <c r="AM38" s="257">
        <f t="shared" ca="1" si="16"/>
        <v>0</v>
      </c>
      <c r="AN38" s="257">
        <f t="shared" ca="1" si="16"/>
        <v>0</v>
      </c>
      <c r="AO38" s="257">
        <f t="shared" ca="1" si="16"/>
        <v>0</v>
      </c>
      <c r="AP38" s="258">
        <f t="shared" ca="1" si="16"/>
        <v>0</v>
      </c>
      <c r="AQ38" s="127"/>
    </row>
    <row r="39" spans="2:44" ht="15.75" thickBot="1" x14ac:dyDescent="0.3">
      <c r="B39" s="6"/>
      <c r="C39" s="55" t="s">
        <v>126</v>
      </c>
      <c r="D39" s="39">
        <f>(1-D36)*$D$21/SUM($D$20:$D$21)</f>
        <v>6.3157894736842093E-2</v>
      </c>
      <c r="E39" s="83"/>
      <c r="F39" s="127"/>
      <c r="G39" s="409"/>
      <c r="H39" s="6"/>
      <c r="I39" s="20"/>
      <c r="J39" s="2"/>
      <c r="K39" s="20"/>
      <c r="L39" s="20"/>
      <c r="M39" s="20"/>
      <c r="N39" s="20"/>
      <c r="O39" s="20"/>
      <c r="P39" s="20"/>
      <c r="Q39" s="20"/>
      <c r="R39" s="20"/>
      <c r="S39" s="20"/>
      <c r="T39" s="20"/>
      <c r="U39" s="20"/>
      <c r="V39" s="20"/>
      <c r="W39" s="20"/>
      <c r="X39" s="83"/>
      <c r="Y39" s="127"/>
      <c r="AA39" s="6"/>
      <c r="AB39" s="20"/>
      <c r="AC39" s="20"/>
      <c r="AD39" s="20"/>
      <c r="AE39" s="20"/>
      <c r="AF39" s="20"/>
      <c r="AG39" s="20"/>
      <c r="AH39" s="20"/>
      <c r="AI39" s="20"/>
      <c r="AJ39" s="20"/>
      <c r="AK39" s="20"/>
      <c r="AL39" s="20"/>
      <c r="AM39" s="20"/>
      <c r="AN39" s="20"/>
      <c r="AO39" s="20"/>
      <c r="AP39" s="20"/>
      <c r="AQ39" s="127"/>
    </row>
    <row r="40" spans="2:44" ht="15.75" thickBot="1" x14ac:dyDescent="0.3">
      <c r="B40" s="6"/>
      <c r="C40" s="277" t="s">
        <v>140</v>
      </c>
      <c r="D40" s="295">
        <v>44207</v>
      </c>
      <c r="E40" s="261"/>
      <c r="F40" s="127"/>
      <c r="G40" s="409"/>
      <c r="H40" s="6"/>
      <c r="I40" s="20"/>
      <c r="J40" s="67" t="s">
        <v>179</v>
      </c>
      <c r="K40" s="20"/>
      <c r="L40" s="20"/>
      <c r="M40" s="20"/>
      <c r="N40" s="20"/>
      <c r="O40" s="20"/>
      <c r="P40" s="20"/>
      <c r="Q40" s="20"/>
      <c r="R40" s="20"/>
      <c r="S40" s="20"/>
      <c r="T40" s="20"/>
      <c r="U40" s="20"/>
      <c r="V40" s="20"/>
      <c r="W40" s="20"/>
      <c r="X40" s="83"/>
      <c r="Y40" s="127"/>
      <c r="AA40" s="6"/>
      <c r="AB40" s="317" t="s">
        <v>153</v>
      </c>
      <c r="AC40" s="319"/>
      <c r="AD40" s="319"/>
      <c r="AE40" s="319"/>
      <c r="AF40" s="319"/>
      <c r="AG40" s="319"/>
      <c r="AH40" s="319"/>
      <c r="AI40" s="319"/>
      <c r="AJ40" s="319"/>
      <c r="AK40" s="319"/>
      <c r="AL40" s="319"/>
      <c r="AM40" s="319"/>
      <c r="AN40" s="319"/>
      <c r="AO40" s="319"/>
      <c r="AP40" s="318"/>
      <c r="AQ40" s="127"/>
    </row>
    <row r="41" spans="2:44" x14ac:dyDescent="0.25">
      <c r="B41" s="6"/>
      <c r="C41" s="320" t="s">
        <v>153</v>
      </c>
      <c r="D41" s="321"/>
      <c r="E41" s="322"/>
      <c r="F41" s="127"/>
      <c r="G41" s="409"/>
      <c r="H41" s="6"/>
      <c r="I41" s="20"/>
      <c r="J41" s="2" t="s">
        <v>120</v>
      </c>
      <c r="K41" s="20"/>
      <c r="L41" s="20"/>
      <c r="M41" s="20"/>
      <c r="N41" s="234">
        <f>-N26*D22</f>
        <v>198249.99999999543</v>
      </c>
      <c r="O41" s="234">
        <f>N46</f>
        <v>198249.99999999543</v>
      </c>
      <c r="P41" s="234">
        <f t="shared" ref="P41:X41" si="23">O46</f>
        <v>214109.99999999505</v>
      </c>
      <c r="Q41" s="234">
        <f t="shared" si="23"/>
        <v>231238.79999999466</v>
      </c>
      <c r="R41" s="234">
        <f t="shared" si="23"/>
        <v>249737.90399999425</v>
      </c>
      <c r="S41" s="234">
        <f t="shared" si="23"/>
        <v>269716.93631999381</v>
      </c>
      <c r="T41" s="234">
        <f t="shared" si="23"/>
        <v>291294.2912255933</v>
      </c>
      <c r="U41" s="234">
        <f t="shared" ca="1" si="23"/>
        <v>0</v>
      </c>
      <c r="V41" s="234">
        <f t="shared" ca="1" si="23"/>
        <v>0</v>
      </c>
      <c r="W41" s="234">
        <f t="shared" ca="1" si="23"/>
        <v>0</v>
      </c>
      <c r="X41" s="235">
        <f t="shared" ca="1" si="23"/>
        <v>0</v>
      </c>
      <c r="Y41" s="127"/>
      <c r="AA41" s="6"/>
      <c r="AB41" s="18"/>
      <c r="AC41" s="315"/>
      <c r="AD41" s="315"/>
      <c r="AE41" s="315"/>
      <c r="AF41" s="315">
        <v>0</v>
      </c>
      <c r="AG41" s="315">
        <v>1</v>
      </c>
      <c r="AH41" s="315">
        <v>2</v>
      </c>
      <c r="AI41" s="315">
        <v>3</v>
      </c>
      <c r="AJ41" s="315">
        <v>4</v>
      </c>
      <c r="AK41" s="315">
        <v>5</v>
      </c>
      <c r="AL41" s="315">
        <v>6</v>
      </c>
      <c r="AM41" s="315">
        <v>7</v>
      </c>
      <c r="AN41" s="315">
        <v>8</v>
      </c>
      <c r="AO41" s="315">
        <v>9</v>
      </c>
      <c r="AP41" s="316">
        <v>10</v>
      </c>
      <c r="AQ41" s="127"/>
    </row>
    <row r="42" spans="2:44" x14ac:dyDescent="0.25">
      <c r="B42" s="6"/>
      <c r="C42" s="2" t="s">
        <v>103</v>
      </c>
      <c r="D42" s="214">
        <v>0.14000000000000001</v>
      </c>
      <c r="E42" s="242"/>
      <c r="F42" s="127"/>
      <c r="G42" s="409"/>
      <c r="H42" s="6"/>
      <c r="I42" s="20"/>
      <c r="J42" s="2" t="s">
        <v>119</v>
      </c>
      <c r="K42" s="20"/>
      <c r="L42" s="20"/>
      <c r="M42" s="20"/>
      <c r="N42" s="234"/>
      <c r="O42" s="249">
        <f t="shared" ref="O42:X42" si="24">O41*$D$25</f>
        <v>15859.999999999634</v>
      </c>
      <c r="P42" s="249">
        <f t="shared" si="24"/>
        <v>17128.799999999603</v>
      </c>
      <c r="Q42" s="249">
        <f t="shared" si="24"/>
        <v>18499.103999999574</v>
      </c>
      <c r="R42" s="249">
        <f t="shared" si="24"/>
        <v>19979.03231999954</v>
      </c>
      <c r="S42" s="249">
        <f t="shared" si="24"/>
        <v>21577.354905599506</v>
      </c>
      <c r="T42" s="249">
        <f t="shared" si="24"/>
        <v>23303.543298047465</v>
      </c>
      <c r="U42" s="249">
        <f t="shared" ca="1" si="24"/>
        <v>0</v>
      </c>
      <c r="V42" s="249">
        <f t="shared" ca="1" si="24"/>
        <v>0</v>
      </c>
      <c r="W42" s="249">
        <f t="shared" ca="1" si="24"/>
        <v>0</v>
      </c>
      <c r="X42" s="250">
        <f t="shared" ca="1" si="24"/>
        <v>0</v>
      </c>
      <c r="Y42" s="127"/>
      <c r="AA42" s="6"/>
      <c r="AB42" s="114"/>
      <c r="AC42" s="338" t="s">
        <v>54</v>
      </c>
      <c r="AD42" s="338" t="s">
        <v>55</v>
      </c>
      <c r="AE42" s="338" t="s">
        <v>114</v>
      </c>
      <c r="AF42" s="50"/>
      <c r="AG42" s="50"/>
      <c r="AH42" s="50"/>
      <c r="AI42" s="50"/>
      <c r="AJ42" s="50"/>
      <c r="AK42" s="50"/>
      <c r="AL42" s="50"/>
      <c r="AM42" s="50"/>
      <c r="AN42" s="50"/>
      <c r="AO42" s="50"/>
      <c r="AP42" s="213"/>
      <c r="AQ42" s="127"/>
    </row>
    <row r="43" spans="2:44" x14ac:dyDescent="0.25">
      <c r="B43" s="6"/>
      <c r="C43" s="264" t="s">
        <v>164</v>
      </c>
      <c r="D43" s="50"/>
      <c r="E43" s="213"/>
      <c r="F43" s="127"/>
      <c r="G43" s="409"/>
      <c r="H43" s="6"/>
      <c r="I43" s="20"/>
      <c r="J43" s="2" t="s">
        <v>151</v>
      </c>
      <c r="K43" s="20"/>
      <c r="L43" s="20"/>
      <c r="M43" s="20"/>
      <c r="N43" s="234"/>
      <c r="O43" s="249">
        <f>IFERROR((SUM(O31:O33,O26)&gt;0)*(-MIN(SUM(O31:O33,O26),SUM($N$42:N43,O42))),0)</f>
        <v>0</v>
      </c>
      <c r="P43" s="249">
        <f>IFERROR((SUM(P31:P33,P26)&gt;0)*(-MIN(SUM(P31:P33,P26),SUM($N$42:O43,P42))),0)</f>
        <v>0</v>
      </c>
      <c r="Q43" s="249">
        <f>IFERROR((SUM(Q31:Q33,Q26)&gt;0)*(-MIN(SUM(Q31:Q33,Q26),SUM($N$42:P43,Q42))),0)</f>
        <v>0</v>
      </c>
      <c r="R43" s="249">
        <f>IFERROR((SUM(R31:R33,R26)&gt;0)*(-MIN(SUM(R31:R33,R26),SUM($N$42:Q43,R42))),0)</f>
        <v>0</v>
      </c>
      <c r="S43" s="249">
        <f>IFERROR((SUM(S31:S33,S26)&gt;0)*(-MIN(SUM(S31:S33,S26),SUM($N$42:R43,S42))),0)</f>
        <v>0</v>
      </c>
      <c r="T43" s="249">
        <f ca="1">IFERROR((SUM(T31:T33,T26)&gt;0)*(-MIN(SUM(T31:T33,T26),SUM($N$42:S43,T42))),0)</f>
        <v>-116347.83452364532</v>
      </c>
      <c r="U43" s="249">
        <f ca="1">IFERROR((SUM(U31:U33,U26)&gt;0)*(-MIN(SUM(U31:U33,U26),SUM($N$42:T43,U42))),0)</f>
        <v>0</v>
      </c>
      <c r="V43" s="249">
        <f ca="1">IFERROR((SUM(V31:V33,V26)&gt;0)*(-MIN(SUM(V31:V33,V26),SUM($N$42:U43,V42))),0)</f>
        <v>0</v>
      </c>
      <c r="W43" s="249">
        <f ca="1">IFERROR((SUM(W31:W33,W26)&gt;0)*(-MIN(SUM(W31:W33,W26),SUM($N$42:V43,W42))),0)</f>
        <v>0</v>
      </c>
      <c r="X43" s="250">
        <f ca="1">IFERROR((SUM(X31:X33,X26)&gt;0)*(-MIN(SUM(X31:X33,X26),SUM($N$42:W43,X42))),0)</f>
        <v>0</v>
      </c>
      <c r="Y43" s="127"/>
      <c r="AA43" s="6"/>
      <c r="AB43" s="308" t="s">
        <v>166</v>
      </c>
      <c r="AC43" s="365">
        <f ca="1">IRR(AF43:AP43)</f>
        <v>0.14357567278573846</v>
      </c>
      <c r="AD43" s="366">
        <f ca="1">SUMIF(AF43:AP43,"&gt;0")/-SUMIF(AF43:AP43,"&lt;0")</f>
        <v>2.0322203908191758</v>
      </c>
      <c r="AE43" s="367">
        <f ca="1">SUM(AE44:AE46)</f>
        <v>4092753.8495979402</v>
      </c>
      <c r="AF43" s="349">
        <f t="shared" ref="AF43:AP46" si="25">N126</f>
        <v>-3964999.9999999115</v>
      </c>
      <c r="AG43" s="350">
        <f t="shared" si="25"/>
        <v>322320.06953694159</v>
      </c>
      <c r="AH43" s="350">
        <f t="shared" si="25"/>
        <v>294661.18953694159</v>
      </c>
      <c r="AI43" s="350">
        <f t="shared" si="25"/>
        <v>263156.2691180238</v>
      </c>
      <c r="AJ43" s="350">
        <f t="shared" si="25"/>
        <v>338766.61332602391</v>
      </c>
      <c r="AK43" s="350">
        <f t="shared" si="25"/>
        <v>406540.26786026394</v>
      </c>
      <c r="AL43" s="350">
        <f t="shared" ca="1" si="25"/>
        <v>6432309.4402196584</v>
      </c>
      <c r="AM43" s="350">
        <f t="shared" ca="1" si="25"/>
        <v>0</v>
      </c>
      <c r="AN43" s="350">
        <f t="shared" ca="1" si="25"/>
        <v>-5.2916055375879466E-10</v>
      </c>
      <c r="AO43" s="350">
        <f t="shared" ca="1" si="25"/>
        <v>0</v>
      </c>
      <c r="AP43" s="351">
        <f t="shared" ca="1" si="25"/>
        <v>0</v>
      </c>
      <c r="AQ43" s="127"/>
    </row>
    <row r="44" spans="2:44" x14ac:dyDescent="0.25">
      <c r="B44" s="6"/>
      <c r="C44" s="3" t="s">
        <v>108</v>
      </c>
      <c r="D44" s="262">
        <v>0.12</v>
      </c>
      <c r="E44" s="83"/>
      <c r="F44" s="127"/>
      <c r="G44" s="409"/>
      <c r="H44" s="6"/>
      <c r="I44" s="20"/>
      <c r="J44" s="2" t="s">
        <v>121</v>
      </c>
      <c r="K44" s="20"/>
      <c r="L44" s="20"/>
      <c r="M44" s="20"/>
      <c r="N44" s="234"/>
      <c r="O44" s="249">
        <f t="shared" ref="O44:X44" si="26">IFERROR((O26&lt;0)*-(O26*$D$30),0)</f>
        <v>0</v>
      </c>
      <c r="P44" s="249">
        <f t="shared" si="26"/>
        <v>0</v>
      </c>
      <c r="Q44" s="249">
        <f t="shared" si="26"/>
        <v>0</v>
      </c>
      <c r="R44" s="249">
        <f t="shared" si="26"/>
        <v>0</v>
      </c>
      <c r="S44" s="249">
        <f t="shared" si="26"/>
        <v>0</v>
      </c>
      <c r="T44" s="249">
        <f t="shared" ca="1" si="26"/>
        <v>0</v>
      </c>
      <c r="U44" s="249">
        <f t="shared" si="26"/>
        <v>0</v>
      </c>
      <c r="V44" s="249">
        <f t="shared" si="26"/>
        <v>0</v>
      </c>
      <c r="W44" s="249">
        <f t="shared" si="26"/>
        <v>0</v>
      </c>
      <c r="X44" s="250">
        <f t="shared" si="26"/>
        <v>0</v>
      </c>
      <c r="Y44" s="393"/>
      <c r="Z44" s="407"/>
      <c r="AA44" s="394"/>
      <c r="AB44" s="285" t="s">
        <v>125</v>
      </c>
      <c r="AC44" s="252">
        <f ca="1">IRR(AF44:AP44)</f>
        <v>0.13999999999999635</v>
      </c>
      <c r="AD44" s="368">
        <f ca="1">SUMIF(AF44:AP44,"&gt;0")/-SUMIF(AF44:AP44,"&lt;0")</f>
        <v>1.9861929199078774</v>
      </c>
      <c r="AE44" s="369">
        <f ca="1">SUM(AF44:AP44)</f>
        <v>3128203.9419477177</v>
      </c>
      <c r="AF44" s="352">
        <f t="shared" si="25"/>
        <v>-3171999.9999999297</v>
      </c>
      <c r="AG44" s="353">
        <f t="shared" si="25"/>
        <v>271427.42697847716</v>
      </c>
      <c r="AH44" s="353">
        <f t="shared" si="25"/>
        <v>248135.73855742451</v>
      </c>
      <c r="AI44" s="353">
        <f t="shared" si="25"/>
        <v>221605.2792572832</v>
      </c>
      <c r="AJ44" s="353">
        <f t="shared" si="25"/>
        <v>285277.14806402015</v>
      </c>
      <c r="AK44" s="353">
        <f t="shared" si="25"/>
        <v>342349.69925074856</v>
      </c>
      <c r="AL44" s="353">
        <f t="shared" ca="1" si="25"/>
        <v>4931408.6498396946</v>
      </c>
      <c r="AM44" s="353">
        <f t="shared" ca="1" si="25"/>
        <v>0</v>
      </c>
      <c r="AN44" s="353">
        <f t="shared" ca="1" si="25"/>
        <v>-3.9213582089072783E-10</v>
      </c>
      <c r="AO44" s="353">
        <f t="shared" ca="1" si="25"/>
        <v>0</v>
      </c>
      <c r="AP44" s="354">
        <f t="shared" ca="1" si="25"/>
        <v>0</v>
      </c>
      <c r="AQ44" s="127"/>
    </row>
    <row r="45" spans="2:44" x14ac:dyDescent="0.25">
      <c r="B45" s="6"/>
      <c r="C45" s="3" t="s">
        <v>133</v>
      </c>
      <c r="D45" s="263">
        <f>1-D44</f>
        <v>0.88</v>
      </c>
      <c r="E45" s="83"/>
      <c r="F45" s="127"/>
      <c r="G45" s="409"/>
      <c r="H45" s="6"/>
      <c r="I45" s="20"/>
      <c r="J45" s="4" t="s">
        <v>122</v>
      </c>
      <c r="K45" s="21"/>
      <c r="L45" s="21"/>
      <c r="M45" s="21"/>
      <c r="N45" s="237"/>
      <c r="O45" s="243">
        <f>IFERROR((SUM(O26,O31,O33)&gt;0)*-MIN(SUM(O26,O31,O33)+O43,SUM(O41:O43)),0)</f>
        <v>0</v>
      </c>
      <c r="P45" s="243">
        <f t="shared" ref="P45:X45" si="27">IFERROR((SUM(P26,P31,P33)&gt;0)*-MIN(SUM(P26,P31,P33)+P43,SUM(P41:P43)),0)</f>
        <v>0</v>
      </c>
      <c r="Q45" s="243">
        <f t="shared" si="27"/>
        <v>0</v>
      </c>
      <c r="R45" s="243">
        <f t="shared" si="27"/>
        <v>0</v>
      </c>
      <c r="S45" s="243">
        <f t="shared" si="27"/>
        <v>0</v>
      </c>
      <c r="T45" s="243">
        <f t="shared" ca="1" si="27"/>
        <v>-198249.99999999543</v>
      </c>
      <c r="U45" s="243">
        <f ca="1">IFERROR((SUM(U26,U31,U33)&gt;0)*-MIN(SUM(U26,U31,U33)+U43,SUM(U41:U43)),0)</f>
        <v>0</v>
      </c>
      <c r="V45" s="243">
        <f t="shared" ca="1" si="27"/>
        <v>0</v>
      </c>
      <c r="W45" s="243">
        <f t="shared" ca="1" si="27"/>
        <v>0</v>
      </c>
      <c r="X45" s="251">
        <f t="shared" ca="1" si="27"/>
        <v>0</v>
      </c>
      <c r="Y45" s="127"/>
      <c r="AA45" s="6"/>
      <c r="AB45" s="285" t="s">
        <v>126</v>
      </c>
      <c r="AC45" s="252">
        <f ca="1">IFERROR(IRR(AF45:AP45),"")</f>
        <v>0.13999999999999635</v>
      </c>
      <c r="AD45" s="368">
        <f ca="1">IFERROR(SUMIF(AF45:AP45,"&gt;0")/-SUMIF(AF45:AP45,"&lt;0"),"")</f>
        <v>1.9861929199078774</v>
      </c>
      <c r="AE45" s="369">
        <f ca="1">SUM(AF45:AP45)</f>
        <v>586538.2391151971</v>
      </c>
      <c r="AF45" s="287">
        <f t="shared" si="25"/>
        <v>-594749.99999998673</v>
      </c>
      <c r="AG45" s="254">
        <f t="shared" si="25"/>
        <v>50892.64255846446</v>
      </c>
      <c r="AH45" s="254">
        <f t="shared" si="25"/>
        <v>46525.450979517089</v>
      </c>
      <c r="AI45" s="254">
        <f t="shared" si="25"/>
        <v>41550.989860740592</v>
      </c>
      <c r="AJ45" s="254">
        <f t="shared" si="25"/>
        <v>53489.465262003774</v>
      </c>
      <c r="AK45" s="254">
        <f t="shared" si="25"/>
        <v>64190.568609515358</v>
      </c>
      <c r="AL45" s="254">
        <f t="shared" ca="1" si="25"/>
        <v>924639.12184494268</v>
      </c>
      <c r="AM45" s="254">
        <f t="shared" ca="1" si="25"/>
        <v>0</v>
      </c>
      <c r="AN45" s="254">
        <f t="shared" ca="1" si="25"/>
        <v>-7.3525466417011458E-11</v>
      </c>
      <c r="AO45" s="254">
        <f t="shared" ca="1" si="25"/>
        <v>0</v>
      </c>
      <c r="AP45" s="255">
        <f t="shared" ca="1" si="25"/>
        <v>0</v>
      </c>
      <c r="AQ45" s="127"/>
    </row>
    <row r="46" spans="2:44" x14ac:dyDescent="0.25">
      <c r="B46" s="6"/>
      <c r="C46" s="55" t="s">
        <v>125</v>
      </c>
      <c r="D46" s="39">
        <f>(1-D44)*$D$20/SUM($D$20:$D$21)</f>
        <v>0.74105263157894741</v>
      </c>
      <c r="E46" s="83"/>
      <c r="F46" s="127"/>
      <c r="G46" s="409"/>
      <c r="H46" s="6"/>
      <c r="I46" s="20"/>
      <c r="J46" s="2" t="s">
        <v>123</v>
      </c>
      <c r="K46" s="20"/>
      <c r="L46" s="20"/>
      <c r="M46" s="20"/>
      <c r="N46" s="234">
        <f>SUM(N41:N45)</f>
        <v>198249.99999999543</v>
      </c>
      <c r="O46" s="234">
        <f>SUM(O41:O45)</f>
        <v>214109.99999999505</v>
      </c>
      <c r="P46" s="234">
        <f t="shared" ref="P46:X46" si="28">SUM(P41:P45)</f>
        <v>231238.79999999466</v>
      </c>
      <c r="Q46" s="234">
        <f t="shared" si="28"/>
        <v>249737.90399999425</v>
      </c>
      <c r="R46" s="234">
        <f t="shared" si="28"/>
        <v>269716.93631999381</v>
      </c>
      <c r="S46" s="234">
        <f t="shared" si="28"/>
        <v>291294.2912255933</v>
      </c>
      <c r="T46" s="234">
        <f t="shared" ca="1" si="28"/>
        <v>0</v>
      </c>
      <c r="U46" s="234">
        <f t="shared" ca="1" si="28"/>
        <v>0</v>
      </c>
      <c r="V46" s="234">
        <f t="shared" ca="1" si="28"/>
        <v>0</v>
      </c>
      <c r="W46" s="234">
        <f t="shared" ca="1" si="28"/>
        <v>0</v>
      </c>
      <c r="X46" s="235">
        <f t="shared" ca="1" si="28"/>
        <v>0</v>
      </c>
      <c r="Y46" s="127"/>
      <c r="AA46" s="6"/>
      <c r="AB46" s="286" t="s">
        <v>108</v>
      </c>
      <c r="AC46" s="370">
        <f ca="1">IRR(AF46:AP46)</f>
        <v>0.19463276728791268</v>
      </c>
      <c r="AD46" s="371">
        <f ca="1">SUMIF(AF46:AP46,"&gt;0")/-SUMIF(AF46:AP46,"&lt;0")</f>
        <v>2.9067423381338413</v>
      </c>
      <c r="AE46" s="372">
        <f ca="1">SUM(AF46:AP46)</f>
        <v>378011.66853502538</v>
      </c>
      <c r="AF46" s="288">
        <f t="shared" si="25"/>
        <v>-198249.99999999543</v>
      </c>
      <c r="AG46" s="257">
        <f t="shared" si="25"/>
        <v>0</v>
      </c>
      <c r="AH46" s="257">
        <f t="shared" si="25"/>
        <v>0</v>
      </c>
      <c r="AI46" s="257">
        <f t="shared" si="25"/>
        <v>0</v>
      </c>
      <c r="AJ46" s="257">
        <f t="shared" si="25"/>
        <v>0</v>
      </c>
      <c r="AK46" s="257">
        <f t="shared" si="25"/>
        <v>0</v>
      </c>
      <c r="AL46" s="257">
        <f t="shared" ca="1" si="25"/>
        <v>576261.6685350209</v>
      </c>
      <c r="AM46" s="257">
        <f t="shared" ca="1" si="25"/>
        <v>0</v>
      </c>
      <c r="AN46" s="257">
        <f t="shared" ca="1" si="25"/>
        <v>-6.3499266451055362E-11</v>
      </c>
      <c r="AO46" s="257">
        <f t="shared" ca="1" si="25"/>
        <v>0</v>
      </c>
      <c r="AP46" s="258">
        <f t="shared" ca="1" si="25"/>
        <v>0</v>
      </c>
      <c r="AQ46" s="127"/>
      <c r="AR46" s="406"/>
    </row>
    <row r="47" spans="2:44" x14ac:dyDescent="0.25">
      <c r="B47" s="6"/>
      <c r="C47" s="55" t="s">
        <v>126</v>
      </c>
      <c r="D47" s="39">
        <f>(1-D44)*$D$21/SUM($D$20:$D$21)</f>
        <v>0.13894736842105262</v>
      </c>
      <c r="E47" s="83"/>
      <c r="F47" s="127"/>
      <c r="G47" s="409"/>
      <c r="H47" s="6"/>
      <c r="I47" s="20"/>
      <c r="J47" s="2"/>
      <c r="K47" s="20"/>
      <c r="L47" s="20"/>
      <c r="M47" s="20"/>
      <c r="N47" s="20"/>
      <c r="O47" s="20"/>
      <c r="P47" s="20"/>
      <c r="Q47" s="20"/>
      <c r="R47" s="20"/>
      <c r="S47" s="20"/>
      <c r="T47" s="20"/>
      <c r="U47" s="20"/>
      <c r="V47" s="20"/>
      <c r="W47" s="20"/>
      <c r="X47" s="83"/>
      <c r="Y47" s="127"/>
      <c r="AA47" s="6"/>
      <c r="AB47" s="20"/>
      <c r="AC47" s="20"/>
      <c r="AD47" s="20"/>
      <c r="AE47" s="20"/>
      <c r="AF47" s="20"/>
      <c r="AG47" s="20"/>
      <c r="AH47" s="20"/>
      <c r="AI47" s="20"/>
      <c r="AJ47" s="20"/>
      <c r="AK47" s="20"/>
      <c r="AL47" s="20"/>
      <c r="AM47" s="20"/>
      <c r="AN47" s="20"/>
      <c r="AO47" s="20"/>
      <c r="AP47" s="20"/>
      <c r="AQ47" s="127"/>
    </row>
    <row r="48" spans="2:44" x14ac:dyDescent="0.25">
      <c r="B48" s="6"/>
      <c r="C48" s="320" t="s">
        <v>158</v>
      </c>
      <c r="D48" s="321"/>
      <c r="E48" s="322"/>
      <c r="F48" s="127"/>
      <c r="G48" s="409"/>
      <c r="H48" s="6"/>
      <c r="I48" s="20"/>
      <c r="J48" s="67" t="s">
        <v>180</v>
      </c>
      <c r="K48" s="334">
        <f ca="1">IRR(N48:X48)</f>
        <v>8.0000000000000071E-2</v>
      </c>
      <c r="L48" s="69"/>
      <c r="M48" s="69"/>
      <c r="N48" s="231">
        <f>-N46</f>
        <v>-198249.99999999543</v>
      </c>
      <c r="O48" s="231">
        <f>-SUM(O43:O45)</f>
        <v>0</v>
      </c>
      <c r="P48" s="231">
        <f t="shared" ref="P48:X48" si="29">-SUM(P43:P45)</f>
        <v>0</v>
      </c>
      <c r="Q48" s="231">
        <f t="shared" si="29"/>
        <v>0</v>
      </c>
      <c r="R48" s="231">
        <f t="shared" si="29"/>
        <v>0</v>
      </c>
      <c r="S48" s="231">
        <f t="shared" si="29"/>
        <v>0</v>
      </c>
      <c r="T48" s="231">
        <f t="shared" ca="1" si="29"/>
        <v>314597.83452364075</v>
      </c>
      <c r="U48" s="231">
        <f t="shared" ca="1" si="29"/>
        <v>0</v>
      </c>
      <c r="V48" s="231">
        <f t="shared" ca="1" si="29"/>
        <v>0</v>
      </c>
      <c r="W48" s="231">
        <f t="shared" ca="1" si="29"/>
        <v>0</v>
      </c>
      <c r="X48" s="232">
        <f t="shared" ca="1" si="29"/>
        <v>0</v>
      </c>
      <c r="Y48" s="127"/>
      <c r="AA48" s="6"/>
      <c r="AB48" s="317" t="s">
        <v>158</v>
      </c>
      <c r="AC48" s="319"/>
      <c r="AD48" s="319"/>
      <c r="AE48" s="319"/>
      <c r="AF48" s="319"/>
      <c r="AG48" s="319"/>
      <c r="AH48" s="319"/>
      <c r="AI48" s="319"/>
      <c r="AJ48" s="319"/>
      <c r="AK48" s="319"/>
      <c r="AL48" s="319"/>
      <c r="AM48" s="319"/>
      <c r="AN48" s="319"/>
      <c r="AO48" s="319"/>
      <c r="AP48" s="318"/>
      <c r="AQ48" s="127"/>
    </row>
    <row r="49" spans="2:43" x14ac:dyDescent="0.25">
      <c r="B49" s="6"/>
      <c r="C49" s="2" t="s">
        <v>103</v>
      </c>
      <c r="D49" s="214">
        <v>0.2</v>
      </c>
      <c r="E49" s="242"/>
      <c r="F49" s="127"/>
      <c r="G49" s="409"/>
      <c r="H49" s="6"/>
      <c r="I49" s="20"/>
      <c r="J49" s="4"/>
      <c r="K49" s="335"/>
      <c r="L49" s="21"/>
      <c r="M49" s="21"/>
      <c r="N49" s="21"/>
      <c r="O49" s="21"/>
      <c r="P49" s="21"/>
      <c r="Q49" s="21"/>
      <c r="R49" s="21"/>
      <c r="S49" s="21"/>
      <c r="T49" s="21"/>
      <c r="U49" s="21"/>
      <c r="V49" s="21"/>
      <c r="W49" s="21"/>
      <c r="X49" s="217"/>
      <c r="Y49" s="127"/>
      <c r="AA49" s="6"/>
      <c r="AB49" s="18"/>
      <c r="AC49" s="315"/>
      <c r="AD49" s="315"/>
      <c r="AE49" s="315"/>
      <c r="AF49" s="315">
        <v>0</v>
      </c>
      <c r="AG49" s="315">
        <v>1</v>
      </c>
      <c r="AH49" s="315">
        <v>2</v>
      </c>
      <c r="AI49" s="315">
        <v>3</v>
      </c>
      <c r="AJ49" s="315">
        <v>4</v>
      </c>
      <c r="AK49" s="315">
        <v>5</v>
      </c>
      <c r="AL49" s="315">
        <v>6</v>
      </c>
      <c r="AM49" s="315">
        <v>7</v>
      </c>
      <c r="AN49" s="315">
        <v>8</v>
      </c>
      <c r="AO49" s="315">
        <v>9</v>
      </c>
      <c r="AP49" s="316">
        <v>10</v>
      </c>
      <c r="AQ49" s="127"/>
    </row>
    <row r="50" spans="2:43" x14ac:dyDescent="0.25">
      <c r="B50" s="6"/>
      <c r="C50" s="264" t="s">
        <v>164</v>
      </c>
      <c r="D50" s="50"/>
      <c r="E50" s="213"/>
      <c r="F50" s="127"/>
      <c r="G50" s="409"/>
      <c r="H50" s="6"/>
      <c r="I50" s="20"/>
      <c r="J50" s="4"/>
      <c r="K50" s="339" t="s">
        <v>54</v>
      </c>
      <c r="L50" s="340" t="s">
        <v>55</v>
      </c>
      <c r="M50" s="340" t="s">
        <v>114</v>
      </c>
      <c r="N50" s="21"/>
      <c r="O50" s="21"/>
      <c r="P50" s="21"/>
      <c r="Q50" s="21"/>
      <c r="R50" s="21"/>
      <c r="S50" s="21"/>
      <c r="T50" s="21"/>
      <c r="U50" s="21"/>
      <c r="V50" s="21"/>
      <c r="W50" s="21"/>
      <c r="X50" s="217"/>
      <c r="Y50" s="127"/>
      <c r="AA50" s="6"/>
      <c r="AB50" s="114"/>
      <c r="AC50" s="338" t="s">
        <v>54</v>
      </c>
      <c r="AD50" s="338" t="s">
        <v>55</v>
      </c>
      <c r="AE50" s="338" t="s">
        <v>114</v>
      </c>
      <c r="AF50" s="50"/>
      <c r="AG50" s="50"/>
      <c r="AH50" s="50"/>
      <c r="AI50" s="50"/>
      <c r="AJ50" s="50"/>
      <c r="AK50" s="50"/>
      <c r="AL50" s="50"/>
      <c r="AM50" s="50"/>
      <c r="AN50" s="50"/>
      <c r="AO50" s="50"/>
      <c r="AP50" s="213"/>
      <c r="AQ50" s="127"/>
    </row>
    <row r="51" spans="2:43" x14ac:dyDescent="0.25">
      <c r="B51" s="6"/>
      <c r="C51" s="3" t="s">
        <v>108</v>
      </c>
      <c r="D51" s="262">
        <v>0.15</v>
      </c>
      <c r="E51" s="83"/>
      <c r="F51" s="127"/>
      <c r="G51" s="409"/>
      <c r="H51" s="6"/>
      <c r="I51" s="20"/>
      <c r="J51" s="331" t="s">
        <v>131</v>
      </c>
      <c r="K51" s="268">
        <f ca="1">IRR(N51:X51)</f>
        <v>8.0000000000000071E-2</v>
      </c>
      <c r="L51" s="270">
        <f ca="1">SUMIF(N51:X51,"&gt;0")/-SUMIF(N51:X51,"&lt;0")</f>
        <v>1.4822753844900756</v>
      </c>
      <c r="M51" s="272">
        <f ca="1">SUM(N51:X51)</f>
        <v>1912221.8995031072</v>
      </c>
      <c r="N51" s="332">
        <f t="shared" ref="N51:X51" si="30">SUM(N48,N36)</f>
        <v>-3964999.9999999115</v>
      </c>
      <c r="O51" s="332">
        <f t="shared" si="30"/>
        <v>322320.06953694159</v>
      </c>
      <c r="P51" s="332">
        <f t="shared" si="30"/>
        <v>294661.18953694159</v>
      </c>
      <c r="Q51" s="332">
        <f t="shared" si="30"/>
        <v>263156.2691180238</v>
      </c>
      <c r="R51" s="332">
        <f t="shared" si="30"/>
        <v>338766.61332602391</v>
      </c>
      <c r="S51" s="332">
        <f t="shared" si="30"/>
        <v>406540.26786026394</v>
      </c>
      <c r="T51" s="332">
        <f t="shared" ca="1" si="30"/>
        <v>4251777.4901248235</v>
      </c>
      <c r="U51" s="332">
        <f t="shared" ca="1" si="30"/>
        <v>0</v>
      </c>
      <c r="V51" s="332">
        <f t="shared" ca="1" si="30"/>
        <v>0</v>
      </c>
      <c r="W51" s="332">
        <f t="shared" ca="1" si="30"/>
        <v>0</v>
      </c>
      <c r="X51" s="333">
        <f t="shared" ca="1" si="30"/>
        <v>0</v>
      </c>
      <c r="Y51" s="127"/>
      <c r="AA51" s="6"/>
      <c r="AB51" s="308" t="s">
        <v>165</v>
      </c>
      <c r="AC51" s="365">
        <f ca="1">IRR(AF51:AP51)</f>
        <v>0.17060797910691416</v>
      </c>
      <c r="AD51" s="366">
        <f ca="1">SUMIF(AF51:AP51,"&gt;0")/-SUMIF(AF51:AP51,"&lt;0")</f>
        <v>2.3213123818029975</v>
      </c>
      <c r="AE51" s="373">
        <f ca="1">SUM(AE52:AE54)</f>
        <v>5239003.5938487705</v>
      </c>
      <c r="AF51" s="306">
        <f>N170</f>
        <v>-3964999.9999999115</v>
      </c>
      <c r="AG51" s="307">
        <f t="shared" ref="AG51:AP51" si="31">O170</f>
        <v>322320.06953694159</v>
      </c>
      <c r="AH51" s="307">
        <f t="shared" si="31"/>
        <v>294661.18953694159</v>
      </c>
      <c r="AI51" s="307">
        <f t="shared" si="31"/>
        <v>263156.2691180238</v>
      </c>
      <c r="AJ51" s="307">
        <f t="shared" si="31"/>
        <v>338766.61332602391</v>
      </c>
      <c r="AK51" s="307">
        <f t="shared" si="31"/>
        <v>406540.26786026394</v>
      </c>
      <c r="AL51" s="307">
        <f t="shared" ca="1" si="31"/>
        <v>7578559.1844704859</v>
      </c>
      <c r="AM51" s="307">
        <f t="shared" ca="1" si="31"/>
        <v>0</v>
      </c>
      <c r="AN51" s="307">
        <f t="shared" ca="1" si="31"/>
        <v>-5.2916055375879466E-10</v>
      </c>
      <c r="AO51" s="307">
        <f t="shared" ca="1" si="31"/>
        <v>0</v>
      </c>
      <c r="AP51" s="305">
        <f t="shared" ca="1" si="31"/>
        <v>0</v>
      </c>
      <c r="AQ51" s="127"/>
    </row>
    <row r="52" spans="2:43" x14ac:dyDescent="0.25">
      <c r="B52" s="6"/>
      <c r="C52" s="3" t="s">
        <v>133</v>
      </c>
      <c r="D52" s="263">
        <f>1-D51</f>
        <v>0.85</v>
      </c>
      <c r="E52" s="83"/>
      <c r="F52" s="127"/>
      <c r="G52" s="409"/>
      <c r="H52" s="6"/>
      <c r="I52" s="20"/>
      <c r="J52" s="253" t="s">
        <v>125</v>
      </c>
      <c r="K52" s="267">
        <f t="shared" ref="K52:K54" ca="1" si="32">IRR(N52:X52)</f>
        <v>7.9999999999999849E-2</v>
      </c>
      <c r="L52" s="269">
        <f ca="1">SUMIF(N52:X52,"&gt;0")/-SUMIF(N52:X52,"&lt;0")</f>
        <v>1.4767701772030268</v>
      </c>
      <c r="M52" s="271">
        <f ca="1">SUM(N52:X52)</f>
        <v>1512315.0020879672</v>
      </c>
      <c r="N52" s="254">
        <f t="shared" ref="N52:X52" si="33">N37</f>
        <v>-3171999.9999999292</v>
      </c>
      <c r="O52" s="254">
        <f t="shared" si="33"/>
        <v>271427.4269784771</v>
      </c>
      <c r="P52" s="254">
        <f t="shared" si="33"/>
        <v>248135.73855742448</v>
      </c>
      <c r="Q52" s="254">
        <f t="shared" si="33"/>
        <v>221605.2792572832</v>
      </c>
      <c r="R52" s="254">
        <f t="shared" si="33"/>
        <v>285277.14806402015</v>
      </c>
      <c r="S52" s="254">
        <f t="shared" si="33"/>
        <v>342349.69925074856</v>
      </c>
      <c r="T52" s="254">
        <f t="shared" ca="1" si="33"/>
        <v>3315519.709979943</v>
      </c>
      <c r="U52" s="254">
        <f t="shared" ca="1" si="33"/>
        <v>0</v>
      </c>
      <c r="V52" s="254">
        <f t="shared" ca="1" si="33"/>
        <v>0</v>
      </c>
      <c r="W52" s="254">
        <f t="shared" ca="1" si="33"/>
        <v>0</v>
      </c>
      <c r="X52" s="255">
        <f t="shared" ca="1" si="33"/>
        <v>0</v>
      </c>
      <c r="Y52" s="127"/>
      <c r="AA52" s="6"/>
      <c r="AB52" s="285" t="s">
        <v>125</v>
      </c>
      <c r="AC52" s="252">
        <f ca="1">IRR(AF52:AP52)</f>
        <v>0.16493057546820244</v>
      </c>
      <c r="AD52" s="368">
        <f ca="1">SUMIF(AF52:AP52,"&gt;0")/-SUMIF(AF52:AP52,"&lt;0")</f>
        <v>2.2448541749986659</v>
      </c>
      <c r="AE52" s="374">
        <f ca="1">SUM(AF52:AP52)</f>
        <v>3948677.4430956808</v>
      </c>
      <c r="AF52" s="376">
        <f t="shared" ref="AF52:AP52" si="34">N171</f>
        <v>-3171999.9999999292</v>
      </c>
      <c r="AG52" s="348">
        <f t="shared" si="34"/>
        <v>271427.42697847716</v>
      </c>
      <c r="AH52" s="348">
        <f t="shared" si="34"/>
        <v>248135.73855742451</v>
      </c>
      <c r="AI52" s="348">
        <f t="shared" si="34"/>
        <v>221605.2792572832</v>
      </c>
      <c r="AJ52" s="348">
        <f t="shared" si="34"/>
        <v>285277.14806402015</v>
      </c>
      <c r="AK52" s="348">
        <f t="shared" si="34"/>
        <v>342349.69925074861</v>
      </c>
      <c r="AL52" s="348">
        <f t="shared" ca="1" si="34"/>
        <v>5751882.1509876568</v>
      </c>
      <c r="AM52" s="348">
        <f t="shared" ca="1" si="34"/>
        <v>0</v>
      </c>
      <c r="AN52" s="348">
        <f t="shared" ca="1" si="34"/>
        <v>-3.9213582089072783E-10</v>
      </c>
      <c r="AO52" s="348">
        <f t="shared" ca="1" si="34"/>
        <v>0</v>
      </c>
      <c r="AP52" s="290">
        <f t="shared" ca="1" si="34"/>
        <v>0</v>
      </c>
      <c r="AQ52" s="127"/>
    </row>
    <row r="53" spans="2:43" x14ac:dyDescent="0.25">
      <c r="B53" s="6"/>
      <c r="C53" s="55" t="s">
        <v>125</v>
      </c>
      <c r="D53" s="39">
        <f>(1-D51)*$D$20/SUM($D$20:$D$21)</f>
        <v>0.71578947368421053</v>
      </c>
      <c r="E53" s="83"/>
      <c r="F53" s="127"/>
      <c r="G53" s="409"/>
      <c r="H53" s="6"/>
      <c r="I53" s="20"/>
      <c r="J53" s="253" t="s">
        <v>126</v>
      </c>
      <c r="K53" s="267">
        <f ca="1">IFERROR(IRR(N53:X53),"")</f>
        <v>7.9999999999999849E-2</v>
      </c>
      <c r="L53" s="269">
        <f ca="1">IFERROR(SUMIF(N53:X53,"&gt;0")/-SUMIF(N53:X53,"&lt;0"),"")</f>
        <v>1.4767701772030266</v>
      </c>
      <c r="M53" s="271">
        <f t="shared" ref="M53:M54" ca="1" si="35">SUM(N53:X53)</f>
        <v>283559.06289149378</v>
      </c>
      <c r="N53" s="254">
        <f t="shared" ref="N53:X53" si="36">N38</f>
        <v>-594749.99999998673</v>
      </c>
      <c r="O53" s="254">
        <f t="shared" si="36"/>
        <v>50892.64255846446</v>
      </c>
      <c r="P53" s="254">
        <f t="shared" si="36"/>
        <v>46525.450979517089</v>
      </c>
      <c r="Q53" s="254">
        <f t="shared" si="36"/>
        <v>41550.989860740599</v>
      </c>
      <c r="R53" s="254">
        <f t="shared" si="36"/>
        <v>53489.465262003774</v>
      </c>
      <c r="S53" s="254">
        <f t="shared" si="36"/>
        <v>64190.568609515358</v>
      </c>
      <c r="T53" s="254">
        <f t="shared" ca="1" si="36"/>
        <v>621659.94562123925</v>
      </c>
      <c r="U53" s="254">
        <f t="shared" ca="1" si="36"/>
        <v>0</v>
      </c>
      <c r="V53" s="254">
        <f t="shared" ca="1" si="36"/>
        <v>0</v>
      </c>
      <c r="W53" s="254">
        <f t="shared" ca="1" si="36"/>
        <v>0</v>
      </c>
      <c r="X53" s="255">
        <f t="shared" ca="1" si="36"/>
        <v>0</v>
      </c>
      <c r="Y53" s="127"/>
      <c r="AA53" s="6"/>
      <c r="AB53" s="285" t="s">
        <v>126</v>
      </c>
      <c r="AC53" s="252">
        <f ca="1">IFERROR(IRR(AF53:AP53),"")</f>
        <v>0.16493057546820244</v>
      </c>
      <c r="AD53" s="368">
        <f ca="1">IFERROR(SUMIF(AF53:AP53,"&gt;0")/-SUMIF(AF53:AP53,"&lt;0"),"")</f>
        <v>2.244854174998665</v>
      </c>
      <c r="AE53" s="374">
        <f ca="1">SUM(AF53:AP53)</f>
        <v>740377.02058043983</v>
      </c>
      <c r="AF53" s="376">
        <f t="shared" ref="AF53:AP53" si="37">N172</f>
        <v>-594749.99999998685</v>
      </c>
      <c r="AG53" s="348">
        <f t="shared" si="37"/>
        <v>50892.642558464468</v>
      </c>
      <c r="AH53" s="348">
        <f t="shared" si="37"/>
        <v>46525.450979517096</v>
      </c>
      <c r="AI53" s="348">
        <f t="shared" si="37"/>
        <v>41550.989860740607</v>
      </c>
      <c r="AJ53" s="348">
        <f t="shared" si="37"/>
        <v>53489.465262003781</v>
      </c>
      <c r="AK53" s="348">
        <f t="shared" si="37"/>
        <v>64190.568609515358</v>
      </c>
      <c r="AL53" s="348">
        <f t="shared" ca="1" si="37"/>
        <v>1078477.9033101855</v>
      </c>
      <c r="AM53" s="348">
        <f t="shared" ca="1" si="37"/>
        <v>0</v>
      </c>
      <c r="AN53" s="348">
        <f t="shared" ca="1" si="37"/>
        <v>-7.3525466417011471E-11</v>
      </c>
      <c r="AO53" s="348">
        <f t="shared" ca="1" si="37"/>
        <v>0</v>
      </c>
      <c r="AP53" s="290">
        <f t="shared" ca="1" si="37"/>
        <v>0</v>
      </c>
      <c r="AQ53" s="127"/>
    </row>
    <row r="54" spans="2:43" x14ac:dyDescent="0.25">
      <c r="B54" s="6"/>
      <c r="C54" s="55" t="s">
        <v>126</v>
      </c>
      <c r="D54" s="39">
        <f>(1-D51)*$D$21/SUM($D$20:$D$21)</f>
        <v>0.13421052631578947</v>
      </c>
      <c r="E54" s="83"/>
      <c r="F54" s="127"/>
      <c r="G54" s="409"/>
      <c r="H54" s="6"/>
      <c r="I54" s="20"/>
      <c r="J54" s="256" t="s">
        <v>108</v>
      </c>
      <c r="K54" s="268">
        <f t="shared" ca="1" si="32"/>
        <v>8.0000000000000071E-2</v>
      </c>
      <c r="L54" s="270">
        <f t="shared" ref="L54" ca="1" si="38">SUMIF(N54:X54,"&gt;0")/-SUMIF(N54:X54,"&lt;0")</f>
        <v>1.5868743229439999</v>
      </c>
      <c r="M54" s="272">
        <f t="shared" ca="1" si="35"/>
        <v>116347.83452364532</v>
      </c>
      <c r="N54" s="257">
        <f t="shared" ref="N54:X54" si="39">N48</f>
        <v>-198249.99999999543</v>
      </c>
      <c r="O54" s="257">
        <f t="shared" si="39"/>
        <v>0</v>
      </c>
      <c r="P54" s="257">
        <f t="shared" si="39"/>
        <v>0</v>
      </c>
      <c r="Q54" s="257">
        <f t="shared" si="39"/>
        <v>0</v>
      </c>
      <c r="R54" s="257">
        <f t="shared" si="39"/>
        <v>0</v>
      </c>
      <c r="S54" s="257">
        <f t="shared" si="39"/>
        <v>0</v>
      </c>
      <c r="T54" s="257">
        <f t="shared" ca="1" si="39"/>
        <v>314597.83452364075</v>
      </c>
      <c r="U54" s="257">
        <f t="shared" ca="1" si="39"/>
        <v>0</v>
      </c>
      <c r="V54" s="257">
        <f t="shared" ca="1" si="39"/>
        <v>0</v>
      </c>
      <c r="W54" s="257">
        <f t="shared" ca="1" si="39"/>
        <v>0</v>
      </c>
      <c r="X54" s="258">
        <f t="shared" ca="1" si="39"/>
        <v>0</v>
      </c>
      <c r="Y54" s="127"/>
      <c r="AA54" s="6"/>
      <c r="AB54" s="286" t="s">
        <v>108</v>
      </c>
      <c r="AC54" s="370">
        <f ca="1">IRR(AF54:AP54)</f>
        <v>0.24776845074730303</v>
      </c>
      <c r="AD54" s="371">
        <f ca="1">SUMIF(AF54:AP54,"&gt;0")/-SUMIF(AF54:AP54,"&lt;0")</f>
        <v>3.7740183110853072</v>
      </c>
      <c r="AE54" s="375">
        <f ca="1">SUM(AF54:AP54)</f>
        <v>549949.13017264951</v>
      </c>
      <c r="AF54" s="377">
        <f t="shared" ref="AF54:AP54" si="40">N173</f>
        <v>-198249.99999999543</v>
      </c>
      <c r="AG54" s="378">
        <f t="shared" si="40"/>
        <v>0</v>
      </c>
      <c r="AH54" s="378">
        <f t="shared" si="40"/>
        <v>0</v>
      </c>
      <c r="AI54" s="378">
        <f t="shared" si="40"/>
        <v>0</v>
      </c>
      <c r="AJ54" s="378">
        <f t="shared" si="40"/>
        <v>0</v>
      </c>
      <c r="AK54" s="378">
        <f t="shared" si="40"/>
        <v>0</v>
      </c>
      <c r="AL54" s="378">
        <f t="shared" ca="1" si="40"/>
        <v>748199.13017264509</v>
      </c>
      <c r="AM54" s="378">
        <f t="shared" ca="1" si="40"/>
        <v>0</v>
      </c>
      <c r="AN54" s="378">
        <f t="shared" ca="1" si="40"/>
        <v>-6.3499266451055362E-11</v>
      </c>
      <c r="AO54" s="378">
        <f t="shared" ca="1" si="40"/>
        <v>0</v>
      </c>
      <c r="AP54" s="292">
        <f t="shared" ca="1" si="40"/>
        <v>0</v>
      </c>
      <c r="AQ54" s="127"/>
    </row>
    <row r="55" spans="2:43" x14ac:dyDescent="0.25">
      <c r="B55" s="6"/>
      <c r="C55" s="320" t="s">
        <v>163</v>
      </c>
      <c r="D55" s="321"/>
      <c r="E55" s="322"/>
      <c r="F55" s="127"/>
      <c r="G55" s="409"/>
      <c r="H55" s="6"/>
      <c r="I55" s="20"/>
      <c r="J55" s="49"/>
      <c r="K55" s="50"/>
      <c r="L55" s="20"/>
      <c r="M55" s="20"/>
      <c r="N55" s="50"/>
      <c r="O55" s="50"/>
      <c r="P55" s="50"/>
      <c r="Q55" s="50"/>
      <c r="R55" s="50"/>
      <c r="S55" s="50"/>
      <c r="T55" s="50"/>
      <c r="U55" s="50"/>
      <c r="V55" s="50"/>
      <c r="W55" s="50"/>
      <c r="X55" s="213"/>
      <c r="Y55" s="127"/>
      <c r="AA55" s="6"/>
      <c r="AB55" s="234"/>
      <c r="AC55" s="20"/>
      <c r="AD55" s="20"/>
      <c r="AE55" s="20"/>
      <c r="AF55" s="20"/>
      <c r="AG55" s="20"/>
      <c r="AH55" s="20"/>
      <c r="AI55" s="20"/>
      <c r="AJ55" s="20"/>
      <c r="AK55" s="20"/>
      <c r="AL55" s="20"/>
      <c r="AM55" s="20"/>
      <c r="AN55" s="20"/>
      <c r="AO55" s="395"/>
      <c r="AP55" s="20"/>
      <c r="AQ55" s="127"/>
    </row>
    <row r="56" spans="2:43" x14ac:dyDescent="0.25">
      <c r="B56" s="6"/>
      <c r="C56" s="264" t="s">
        <v>164</v>
      </c>
      <c r="D56" s="50"/>
      <c r="E56" s="213"/>
      <c r="F56" s="127"/>
      <c r="G56" s="409"/>
      <c r="H56" s="6"/>
      <c r="I56" s="20"/>
      <c r="J56" s="67" t="s">
        <v>132</v>
      </c>
      <c r="K56" s="69"/>
      <c r="L56" s="69"/>
      <c r="M56" s="69"/>
      <c r="N56" s="231">
        <f t="shared" ref="N56:X56" si="41">SUM(-N51,N26)</f>
        <v>0</v>
      </c>
      <c r="O56" s="231">
        <f t="shared" si="41"/>
        <v>0</v>
      </c>
      <c r="P56" s="231">
        <f t="shared" si="41"/>
        <v>0</v>
      </c>
      <c r="Q56" s="231">
        <f t="shared" si="41"/>
        <v>0</v>
      </c>
      <c r="R56" s="231">
        <f t="shared" si="41"/>
        <v>0</v>
      </c>
      <c r="S56" s="231">
        <f t="shared" si="41"/>
        <v>0</v>
      </c>
      <c r="T56" s="231">
        <f t="shared" ca="1" si="41"/>
        <v>3326781.6943456633</v>
      </c>
      <c r="U56" s="231">
        <f t="shared" ca="1" si="41"/>
        <v>0</v>
      </c>
      <c r="V56" s="231">
        <f t="shared" ca="1" si="41"/>
        <v>0</v>
      </c>
      <c r="W56" s="231">
        <f t="shared" ca="1" si="41"/>
        <v>0</v>
      </c>
      <c r="X56" s="232">
        <f t="shared" ca="1" si="41"/>
        <v>0</v>
      </c>
      <c r="Y56" s="127"/>
      <c r="AA56" s="6"/>
      <c r="AB56" s="317" t="s">
        <v>163</v>
      </c>
      <c r="AC56" s="319"/>
      <c r="AD56" s="319"/>
      <c r="AE56" s="319"/>
      <c r="AF56" s="319"/>
      <c r="AG56" s="319"/>
      <c r="AH56" s="319"/>
      <c r="AI56" s="319"/>
      <c r="AJ56" s="319"/>
      <c r="AK56" s="319"/>
      <c r="AL56" s="319"/>
      <c r="AM56" s="319"/>
      <c r="AN56" s="319"/>
      <c r="AO56" s="319"/>
      <c r="AP56" s="318"/>
      <c r="AQ56" s="127"/>
    </row>
    <row r="57" spans="2:43" x14ac:dyDescent="0.25">
      <c r="B57" s="6"/>
      <c r="C57" s="3" t="s">
        <v>108</v>
      </c>
      <c r="D57" s="262">
        <v>0.18</v>
      </c>
      <c r="E57" s="83"/>
      <c r="F57" s="127"/>
      <c r="G57" s="409"/>
      <c r="H57" s="6"/>
      <c r="I57" s="20"/>
      <c r="J57" s="4"/>
      <c r="K57" s="21"/>
      <c r="L57" s="21"/>
      <c r="M57" s="21"/>
      <c r="N57" s="21"/>
      <c r="O57" s="21"/>
      <c r="P57" s="21"/>
      <c r="Q57" s="21"/>
      <c r="R57" s="21"/>
      <c r="S57" s="21"/>
      <c r="T57" s="21"/>
      <c r="U57" s="21"/>
      <c r="V57" s="21"/>
      <c r="W57" s="21"/>
      <c r="X57" s="217"/>
      <c r="Y57" s="127"/>
      <c r="AA57" s="6"/>
      <c r="AB57" s="18"/>
      <c r="AC57" s="315"/>
      <c r="AD57" s="315"/>
      <c r="AE57" s="315"/>
      <c r="AF57" s="315">
        <v>0</v>
      </c>
      <c r="AG57" s="315">
        <v>1</v>
      </c>
      <c r="AH57" s="315">
        <v>2</v>
      </c>
      <c r="AI57" s="315">
        <v>3</v>
      </c>
      <c r="AJ57" s="315">
        <v>4</v>
      </c>
      <c r="AK57" s="315">
        <v>5</v>
      </c>
      <c r="AL57" s="315">
        <v>6</v>
      </c>
      <c r="AM57" s="315">
        <v>7</v>
      </c>
      <c r="AN57" s="315">
        <v>8</v>
      </c>
      <c r="AO57" s="315">
        <v>9</v>
      </c>
      <c r="AP57" s="316">
        <v>10</v>
      </c>
      <c r="AQ57" s="127"/>
    </row>
    <row r="58" spans="2:43" x14ac:dyDescent="0.25">
      <c r="B58" s="6"/>
      <c r="C58" s="3" t="s">
        <v>133</v>
      </c>
      <c r="D58" s="263">
        <f>1-D57</f>
        <v>0.82000000000000006</v>
      </c>
      <c r="E58" s="83"/>
      <c r="F58" s="127"/>
      <c r="G58" s="409"/>
      <c r="H58" s="6"/>
      <c r="I58" s="20"/>
      <c r="J58" s="453" t="str">
        <f ca="1">IF(SUM(N56:X56)=0,"NO MORE CASH TO DISTRIBUTE","")</f>
        <v/>
      </c>
      <c r="K58" s="437"/>
      <c r="L58" s="437"/>
      <c r="M58" s="437"/>
      <c r="N58" s="437"/>
      <c r="O58" s="437"/>
      <c r="P58" s="437"/>
      <c r="Q58" s="437"/>
      <c r="R58" s="437"/>
      <c r="S58" s="437"/>
      <c r="T58" s="437"/>
      <c r="U58" s="437"/>
      <c r="V58" s="437"/>
      <c r="W58" s="437"/>
      <c r="X58" s="454"/>
      <c r="Y58" s="127"/>
      <c r="AA58" s="6"/>
      <c r="AB58" s="114"/>
      <c r="AC58" s="338" t="s">
        <v>54</v>
      </c>
      <c r="AD58" s="338" t="s">
        <v>55</v>
      </c>
      <c r="AE58" s="338" t="s">
        <v>114</v>
      </c>
      <c r="AF58" s="50"/>
      <c r="AG58" s="50"/>
      <c r="AH58" s="50"/>
      <c r="AI58" s="50"/>
      <c r="AJ58" s="50"/>
      <c r="AK58" s="50"/>
      <c r="AL58" s="50"/>
      <c r="AM58" s="50"/>
      <c r="AN58" s="50"/>
      <c r="AO58" s="50"/>
      <c r="AP58" s="213"/>
      <c r="AQ58" s="127"/>
    </row>
    <row r="59" spans="2:43" x14ac:dyDescent="0.25">
      <c r="B59" s="6"/>
      <c r="C59" s="55" t="s">
        <v>125</v>
      </c>
      <c r="D59" s="39">
        <f>(1-D57)*$D$20/SUM($D$20:$D$21)</f>
        <v>0.69052631578947377</v>
      </c>
      <c r="E59" s="83"/>
      <c r="F59" s="127"/>
      <c r="G59" s="409"/>
      <c r="H59" s="6"/>
      <c r="I59" s="20"/>
      <c r="J59" s="450"/>
      <c r="K59" s="451"/>
      <c r="L59" s="451"/>
      <c r="M59" s="451"/>
      <c r="N59" s="451"/>
      <c r="O59" s="451"/>
      <c r="P59" s="451"/>
      <c r="Q59" s="451"/>
      <c r="R59" s="451"/>
      <c r="S59" s="451"/>
      <c r="T59" s="451"/>
      <c r="U59" s="451"/>
      <c r="V59" s="451"/>
      <c r="W59" s="451"/>
      <c r="X59" s="452"/>
      <c r="Y59" s="127"/>
      <c r="AA59" s="6"/>
      <c r="AB59" s="308" t="s">
        <v>165</v>
      </c>
      <c r="AC59" s="365">
        <f ca="1">IRR(AF59:AP59)</f>
        <v>0.17060797910691439</v>
      </c>
      <c r="AD59" s="366">
        <f ca="1">SUMIF(AF59:AP59,"&gt;0")/-SUMIF(AF59:AP59,"&lt;0")</f>
        <v>2.3213123818029979</v>
      </c>
      <c r="AE59" s="373">
        <f ca="1">SUM(AE60:AE62)</f>
        <v>5239003.5938487696</v>
      </c>
      <c r="AF59" s="306">
        <f>N189</f>
        <v>-3964999.9999999115</v>
      </c>
      <c r="AG59" s="307">
        <f t="shared" ref="AG59:AP59" si="42">O189</f>
        <v>322320.06953694159</v>
      </c>
      <c r="AH59" s="307">
        <f t="shared" si="42"/>
        <v>294661.18953694159</v>
      </c>
      <c r="AI59" s="307">
        <f t="shared" si="42"/>
        <v>263156.2691180238</v>
      </c>
      <c r="AJ59" s="307">
        <f t="shared" si="42"/>
        <v>338766.61332602391</v>
      </c>
      <c r="AK59" s="307">
        <f t="shared" si="42"/>
        <v>406540.26786026394</v>
      </c>
      <c r="AL59" s="307">
        <f t="shared" ca="1" si="42"/>
        <v>7578559.1844704878</v>
      </c>
      <c r="AM59" s="307">
        <f t="shared" ca="1" si="42"/>
        <v>0</v>
      </c>
      <c r="AN59" s="307">
        <f t="shared" ca="1" si="42"/>
        <v>-5.2916055375879466E-10</v>
      </c>
      <c r="AO59" s="307">
        <f t="shared" ca="1" si="42"/>
        <v>0</v>
      </c>
      <c r="AP59" s="305">
        <f t="shared" ca="1" si="42"/>
        <v>0</v>
      </c>
      <c r="AQ59" s="127"/>
    </row>
    <row r="60" spans="2:43" x14ac:dyDescent="0.25">
      <c r="B60" s="6"/>
      <c r="C60" s="327" t="s">
        <v>126</v>
      </c>
      <c r="D60" s="41">
        <f>(1-D57)*$D$21/SUM($D$20:$D$21)</f>
        <v>0.1294736842105263</v>
      </c>
      <c r="E60" s="217"/>
      <c r="F60" s="127"/>
      <c r="G60" s="409"/>
      <c r="H60" s="445" t="str">
        <f ca="1">IF(D33&lt;D30,"Sponsor Catch Up Must be Higher than Tier 1 Sponsor Split",IF(ROUND(D33,4)&lt;&gt;ROUND(L69,4),"Must Use Solver or Goal Seek",""))</f>
        <v>Must Use Solver or Goal Seek</v>
      </c>
      <c r="I60" s="446"/>
      <c r="J60" s="317" t="s">
        <v>172</v>
      </c>
      <c r="K60" s="319"/>
      <c r="L60" s="319"/>
      <c r="M60" s="319"/>
      <c r="N60" s="319"/>
      <c r="O60" s="319"/>
      <c r="P60" s="319"/>
      <c r="Q60" s="319"/>
      <c r="R60" s="319"/>
      <c r="S60" s="319"/>
      <c r="T60" s="319"/>
      <c r="U60" s="319"/>
      <c r="V60" s="319"/>
      <c r="W60" s="319"/>
      <c r="X60" s="318"/>
      <c r="Y60" s="127"/>
      <c r="AA60" s="6"/>
      <c r="AB60" s="285" t="s">
        <v>125</v>
      </c>
      <c r="AC60" s="252">
        <f ca="1">IRR(AF60:AP60)</f>
        <v>0.16493057546820244</v>
      </c>
      <c r="AD60" s="368">
        <f ca="1">SUMIF(AF60:AP60,"&gt;0")/-SUMIF(AF60:AP60,"&lt;0")</f>
        <v>2.2448541749986659</v>
      </c>
      <c r="AE60" s="374">
        <f ca="1">SUM(AF60:AP60)</f>
        <v>3948677.4430956808</v>
      </c>
      <c r="AF60" s="376">
        <f t="shared" ref="AF60:AP60" si="43">N190</f>
        <v>-3171999.9999999292</v>
      </c>
      <c r="AG60" s="348">
        <f t="shared" si="43"/>
        <v>271427.42697847716</v>
      </c>
      <c r="AH60" s="348">
        <f t="shared" si="43"/>
        <v>248135.73855742448</v>
      </c>
      <c r="AI60" s="348">
        <f t="shared" si="43"/>
        <v>221605.27925728323</v>
      </c>
      <c r="AJ60" s="348">
        <f t="shared" si="43"/>
        <v>285277.14806402015</v>
      </c>
      <c r="AK60" s="348">
        <f t="shared" si="43"/>
        <v>342349.69925074856</v>
      </c>
      <c r="AL60" s="348">
        <f t="shared" ca="1" si="43"/>
        <v>5751882.1509876568</v>
      </c>
      <c r="AM60" s="348">
        <f t="shared" ca="1" si="43"/>
        <v>0</v>
      </c>
      <c r="AN60" s="348">
        <f t="shared" ca="1" si="43"/>
        <v>-3.9213582089072783E-10</v>
      </c>
      <c r="AO60" s="348">
        <f t="shared" ca="1" si="43"/>
        <v>0</v>
      </c>
      <c r="AP60" s="290">
        <f t="shared" ca="1" si="43"/>
        <v>0</v>
      </c>
      <c r="AQ60" s="127"/>
    </row>
    <row r="61" spans="2:43" ht="15.75" thickBot="1" x14ac:dyDescent="0.3">
      <c r="B61" s="7"/>
      <c r="C61" s="129"/>
      <c r="D61" s="129"/>
      <c r="E61" s="129"/>
      <c r="F61" s="131"/>
      <c r="G61" s="409"/>
      <c r="H61" s="445"/>
      <c r="I61" s="446"/>
      <c r="J61" s="18"/>
      <c r="K61" s="315"/>
      <c r="L61" s="315" t="s">
        <v>138</v>
      </c>
      <c r="M61" s="315" t="s">
        <v>114</v>
      </c>
      <c r="N61" s="315">
        <v>0</v>
      </c>
      <c r="O61" s="315">
        <v>1</v>
      </c>
      <c r="P61" s="315">
        <v>2</v>
      </c>
      <c r="Q61" s="315">
        <v>3</v>
      </c>
      <c r="R61" s="315">
        <v>4</v>
      </c>
      <c r="S61" s="315">
        <v>5</v>
      </c>
      <c r="T61" s="315">
        <v>6</v>
      </c>
      <c r="U61" s="315">
        <v>7</v>
      </c>
      <c r="V61" s="315">
        <v>8</v>
      </c>
      <c r="W61" s="315">
        <v>9</v>
      </c>
      <c r="X61" s="316">
        <v>10</v>
      </c>
      <c r="Y61" s="127"/>
      <c r="AA61" s="6"/>
      <c r="AB61" s="285" t="s">
        <v>126</v>
      </c>
      <c r="AC61" s="252">
        <f ca="1">IFERROR(IRR(AF61:AP61),"")</f>
        <v>0.16493057546820222</v>
      </c>
      <c r="AD61" s="368">
        <f ca="1">IFERROR(SUMIF(AF61:AP61,"&gt;0")/-SUMIF(AF61:AP61,"&lt;0"),"")</f>
        <v>2.2448541749986655</v>
      </c>
      <c r="AE61" s="374">
        <f ca="1">SUM(AF61:AP61)</f>
        <v>740377.02058043971</v>
      </c>
      <c r="AF61" s="376">
        <f t="shared" ref="AF61:AP61" si="44">N191</f>
        <v>-594749.99999998661</v>
      </c>
      <c r="AG61" s="348">
        <f t="shared" si="44"/>
        <v>50892.642558464453</v>
      </c>
      <c r="AH61" s="348">
        <f t="shared" si="44"/>
        <v>46525.450979517082</v>
      </c>
      <c r="AI61" s="348">
        <f t="shared" si="44"/>
        <v>41550.989860740592</v>
      </c>
      <c r="AJ61" s="348">
        <f t="shared" si="44"/>
        <v>53489.465262003767</v>
      </c>
      <c r="AK61" s="348">
        <f t="shared" si="44"/>
        <v>64190.568609515343</v>
      </c>
      <c r="AL61" s="348">
        <f t="shared" ca="1" si="44"/>
        <v>1078477.9033101853</v>
      </c>
      <c r="AM61" s="348">
        <f t="shared" ca="1" si="44"/>
        <v>0</v>
      </c>
      <c r="AN61" s="348">
        <f t="shared" ca="1" si="44"/>
        <v>-7.3525466417011445E-11</v>
      </c>
      <c r="AO61" s="348">
        <f t="shared" ca="1" si="44"/>
        <v>0</v>
      </c>
      <c r="AP61" s="290">
        <f t="shared" ca="1" si="44"/>
        <v>0</v>
      </c>
      <c r="AQ61" s="127"/>
    </row>
    <row r="62" spans="2:43" ht="15.75" customHeight="1" x14ac:dyDescent="0.25">
      <c r="G62" s="409"/>
      <c r="H62" s="445"/>
      <c r="I62" s="446"/>
      <c r="J62" s="2"/>
      <c r="K62" s="20"/>
      <c r="L62" s="20"/>
      <c r="M62" s="82"/>
      <c r="N62" s="20"/>
      <c r="O62" s="20"/>
      <c r="P62" s="20"/>
      <c r="Q62" s="20"/>
      <c r="R62" s="20"/>
      <c r="S62" s="20"/>
      <c r="T62" s="20"/>
      <c r="U62" s="20"/>
      <c r="V62" s="20"/>
      <c r="W62" s="20"/>
      <c r="X62" s="83"/>
      <c r="Y62" s="127"/>
      <c r="AA62" s="6"/>
      <c r="AB62" s="286" t="s">
        <v>108</v>
      </c>
      <c r="AC62" s="370">
        <f ca="1">IRR(AF62:AP62)</f>
        <v>0.24776845074730303</v>
      </c>
      <c r="AD62" s="371">
        <f ca="1">SUMIF(AF62:AP62,"&gt;0")/-SUMIF(AF62:AP62,"&lt;0")</f>
        <v>3.7740183110853076</v>
      </c>
      <c r="AE62" s="375">
        <f ca="1">SUM(AF62:AP62)</f>
        <v>549949.13017264963</v>
      </c>
      <c r="AF62" s="377">
        <f t="shared" ref="AF62:AP62" si="45">N192</f>
        <v>-198249.99999999543</v>
      </c>
      <c r="AG62" s="378">
        <f t="shared" si="45"/>
        <v>0</v>
      </c>
      <c r="AH62" s="378">
        <f t="shared" si="45"/>
        <v>0</v>
      </c>
      <c r="AI62" s="378">
        <f t="shared" si="45"/>
        <v>0</v>
      </c>
      <c r="AJ62" s="378">
        <f t="shared" si="45"/>
        <v>0</v>
      </c>
      <c r="AK62" s="378">
        <f t="shared" si="45"/>
        <v>0</v>
      </c>
      <c r="AL62" s="378">
        <f t="shared" ca="1" si="45"/>
        <v>748199.13017264521</v>
      </c>
      <c r="AM62" s="378">
        <f t="shared" ca="1" si="45"/>
        <v>0</v>
      </c>
      <c r="AN62" s="378">
        <f t="shared" ca="1" si="45"/>
        <v>-6.3499266451055362E-11</v>
      </c>
      <c r="AO62" s="378">
        <f t="shared" ca="1" si="45"/>
        <v>0</v>
      </c>
      <c r="AP62" s="292">
        <f t="shared" ca="1" si="45"/>
        <v>0</v>
      </c>
      <c r="AQ62" s="127"/>
    </row>
    <row r="63" spans="2:43" x14ac:dyDescent="0.25">
      <c r="H63" s="445"/>
      <c r="I63" s="446"/>
      <c r="J63" s="2" t="s">
        <v>142</v>
      </c>
      <c r="K63" s="20"/>
      <c r="L63" s="138">
        <f ca="1">SUM(L64:L65)</f>
        <v>0.99999999999999956</v>
      </c>
      <c r="M63" s="296">
        <f ca="1">M51</f>
        <v>1912221.8995031072</v>
      </c>
      <c r="N63" s="296">
        <f t="shared" ref="N63:X63" si="46">N51</f>
        <v>-3964999.9999999115</v>
      </c>
      <c r="O63" s="296">
        <f>O51</f>
        <v>322320.06953694159</v>
      </c>
      <c r="P63" s="296">
        <f t="shared" si="46"/>
        <v>294661.18953694159</v>
      </c>
      <c r="Q63" s="296">
        <f t="shared" si="46"/>
        <v>263156.2691180238</v>
      </c>
      <c r="R63" s="296">
        <f t="shared" si="46"/>
        <v>338766.61332602391</v>
      </c>
      <c r="S63" s="296">
        <f t="shared" si="46"/>
        <v>406540.26786026394</v>
      </c>
      <c r="T63" s="296">
        <f t="shared" ca="1" si="46"/>
        <v>4251777.4901248235</v>
      </c>
      <c r="U63" s="296">
        <f ca="1">U51</f>
        <v>0</v>
      </c>
      <c r="V63" s="296">
        <f t="shared" ca="1" si="46"/>
        <v>0</v>
      </c>
      <c r="W63" s="296">
        <f t="shared" ca="1" si="46"/>
        <v>0</v>
      </c>
      <c r="X63" s="297">
        <f t="shared" ca="1" si="46"/>
        <v>0</v>
      </c>
      <c r="Y63" s="127"/>
      <c r="AA63" s="6"/>
      <c r="AB63" s="20"/>
      <c r="AC63" s="20"/>
      <c r="AD63" s="234"/>
      <c r="AE63" s="396"/>
      <c r="AF63" s="234"/>
      <c r="AG63" s="396"/>
      <c r="AH63" s="234"/>
      <c r="AI63" s="20"/>
      <c r="AJ63" s="20"/>
      <c r="AK63" s="20"/>
      <c r="AL63" s="20"/>
      <c r="AM63" s="20"/>
      <c r="AN63" s="20"/>
      <c r="AO63" s="395"/>
      <c r="AP63" s="20"/>
      <c r="AQ63" s="127"/>
    </row>
    <row r="64" spans="2:43" x14ac:dyDescent="0.25">
      <c r="H64" s="445"/>
      <c r="I64" s="446"/>
      <c r="J64" s="3" t="s">
        <v>135</v>
      </c>
      <c r="K64" s="20"/>
      <c r="L64" s="39">
        <f ca="1">M64/M63</f>
        <v>0.93915568347278144</v>
      </c>
      <c r="M64" s="234">
        <f t="shared" ref="M64:X64" ca="1" si="47">SUM(M52:M53)</f>
        <v>1795874.064979461</v>
      </c>
      <c r="N64" s="234">
        <f t="shared" si="47"/>
        <v>-3766749.9999999162</v>
      </c>
      <c r="O64" s="234">
        <f t="shared" si="47"/>
        <v>322320.06953694159</v>
      </c>
      <c r="P64" s="234">
        <f t="shared" si="47"/>
        <v>294661.18953694159</v>
      </c>
      <c r="Q64" s="234">
        <f t="shared" si="47"/>
        <v>263156.2691180238</v>
      </c>
      <c r="R64" s="234">
        <f t="shared" si="47"/>
        <v>338766.61332602391</v>
      </c>
      <c r="S64" s="234">
        <f t="shared" si="47"/>
        <v>406540.26786026394</v>
      </c>
      <c r="T64" s="234">
        <f t="shared" ca="1" si="47"/>
        <v>3937179.655601182</v>
      </c>
      <c r="U64" s="234">
        <f t="shared" ca="1" si="47"/>
        <v>0</v>
      </c>
      <c r="V64" s="234">
        <f t="shared" ca="1" si="47"/>
        <v>0</v>
      </c>
      <c r="W64" s="234">
        <f t="shared" ca="1" si="47"/>
        <v>0</v>
      </c>
      <c r="X64" s="235">
        <f t="shared" ca="1" si="47"/>
        <v>0</v>
      </c>
      <c r="Y64" s="127"/>
      <c r="AA64" s="6"/>
      <c r="AB64" s="317" t="s">
        <v>178</v>
      </c>
      <c r="AC64" s="319"/>
      <c r="AD64" s="319"/>
      <c r="AE64" s="319"/>
      <c r="AF64" s="319"/>
      <c r="AG64" s="319"/>
      <c r="AH64" s="319"/>
      <c r="AI64" s="319"/>
      <c r="AJ64" s="319"/>
      <c r="AK64" s="319"/>
      <c r="AL64" s="319"/>
      <c r="AM64" s="319"/>
      <c r="AN64" s="319"/>
      <c r="AO64" s="319"/>
      <c r="AP64" s="318"/>
      <c r="AQ64" s="127"/>
    </row>
    <row r="65" spans="8:43" x14ac:dyDescent="0.25">
      <c r="H65" s="445"/>
      <c r="I65" s="446"/>
      <c r="J65" s="3" t="s">
        <v>181</v>
      </c>
      <c r="K65" s="20"/>
      <c r="L65" s="39">
        <f ca="1">M65/M63</f>
        <v>6.0844316527218112E-2</v>
      </c>
      <c r="M65" s="234">
        <f ca="1">M54</f>
        <v>116347.83452364532</v>
      </c>
      <c r="N65" s="234">
        <f t="shared" ref="N65:X65" si="48">N54</f>
        <v>-198249.99999999543</v>
      </c>
      <c r="O65" s="234">
        <f t="shared" si="48"/>
        <v>0</v>
      </c>
      <c r="P65" s="234">
        <f t="shared" si="48"/>
        <v>0</v>
      </c>
      <c r="Q65" s="234">
        <f t="shared" si="48"/>
        <v>0</v>
      </c>
      <c r="R65" s="234">
        <f t="shared" si="48"/>
        <v>0</v>
      </c>
      <c r="S65" s="234">
        <f t="shared" si="48"/>
        <v>0</v>
      </c>
      <c r="T65" s="234">
        <f t="shared" ca="1" si="48"/>
        <v>314597.83452364075</v>
      </c>
      <c r="U65" s="234">
        <f t="shared" ca="1" si="48"/>
        <v>0</v>
      </c>
      <c r="V65" s="234">
        <f t="shared" ca="1" si="48"/>
        <v>0</v>
      </c>
      <c r="W65" s="234">
        <f t="shared" ca="1" si="48"/>
        <v>0</v>
      </c>
      <c r="X65" s="235">
        <f t="shared" ca="1" si="48"/>
        <v>0</v>
      </c>
      <c r="Y65" s="127"/>
      <c r="AA65" s="6"/>
      <c r="AB65" s="18"/>
      <c r="AC65" s="315"/>
      <c r="AD65" s="315"/>
      <c r="AE65" s="315"/>
      <c r="AF65" s="315">
        <v>0</v>
      </c>
      <c r="AG65" s="315">
        <v>1</v>
      </c>
      <c r="AH65" s="315">
        <v>2</v>
      </c>
      <c r="AI65" s="315">
        <v>3</v>
      </c>
      <c r="AJ65" s="315">
        <v>4</v>
      </c>
      <c r="AK65" s="315">
        <v>5</v>
      </c>
      <c r="AL65" s="315">
        <v>6</v>
      </c>
      <c r="AM65" s="315">
        <v>7</v>
      </c>
      <c r="AN65" s="315">
        <v>8</v>
      </c>
      <c r="AO65" s="315">
        <v>9</v>
      </c>
      <c r="AP65" s="316">
        <v>10</v>
      </c>
      <c r="AQ65" s="127"/>
    </row>
    <row r="66" spans="8:43" ht="15" customHeight="1" thickBot="1" x14ac:dyDescent="0.3">
      <c r="H66" s="445"/>
      <c r="I66" s="446"/>
      <c r="J66" s="3"/>
      <c r="K66" s="20"/>
      <c r="L66" s="39"/>
      <c r="M66" s="234"/>
      <c r="N66" s="234"/>
      <c r="O66" s="234"/>
      <c r="P66" s="234"/>
      <c r="Q66" s="234"/>
      <c r="R66" s="234"/>
      <c r="S66" s="234"/>
      <c r="T66" s="234"/>
      <c r="U66" s="234"/>
      <c r="V66" s="234"/>
      <c r="W66" s="234"/>
      <c r="X66" s="235"/>
      <c r="Y66" s="127"/>
      <c r="AA66" s="6"/>
      <c r="AB66" s="114"/>
      <c r="AC66" s="338" t="s">
        <v>54</v>
      </c>
      <c r="AD66" s="338" t="s">
        <v>55</v>
      </c>
      <c r="AE66" s="338" t="s">
        <v>114</v>
      </c>
      <c r="AF66" s="50"/>
      <c r="AG66" s="50"/>
      <c r="AH66" s="50"/>
      <c r="AI66" s="50"/>
      <c r="AJ66" s="50"/>
      <c r="AK66" s="50"/>
      <c r="AL66" s="50"/>
      <c r="AM66" s="50"/>
      <c r="AN66" s="50"/>
      <c r="AO66" s="50"/>
      <c r="AP66" s="213"/>
      <c r="AQ66" s="127"/>
    </row>
    <row r="67" spans="8:43" x14ac:dyDescent="0.25">
      <c r="H67" s="445"/>
      <c r="I67" s="446"/>
      <c r="J67" s="337" t="s">
        <v>169</v>
      </c>
      <c r="K67" s="278">
        <f>SUM(K68:K69)</f>
        <v>73678.333333333328</v>
      </c>
      <c r="L67" s="281">
        <f ca="1">SUM(L68:L69)</f>
        <v>1</v>
      </c>
      <c r="M67" s="282">
        <f ca="1">M68+M69</f>
        <v>1985900.2328364395</v>
      </c>
      <c r="N67" s="234"/>
      <c r="O67" s="234"/>
      <c r="P67" s="234"/>
      <c r="Q67" s="234"/>
      <c r="R67" s="234"/>
      <c r="S67" s="234"/>
      <c r="T67" s="234"/>
      <c r="U67" s="234"/>
      <c r="V67" s="234"/>
      <c r="W67" s="234"/>
      <c r="X67" s="235"/>
      <c r="Y67" s="127"/>
      <c r="AA67" s="6"/>
      <c r="AB67" s="308" t="s">
        <v>182</v>
      </c>
      <c r="AC67" s="365">
        <f ca="1">IRR(AF67:AP67)</f>
        <v>0.63203479902872872</v>
      </c>
      <c r="AD67" s="366">
        <f ca="1">SUMIF(AF67:AP67,"&gt;0")/-SUMIF(AF67:AP67,"&lt;0")</f>
        <v>11.174397035656007</v>
      </c>
      <c r="AE67" s="367">
        <f ca="1">SUM(AF67:AP67)</f>
        <v>999634.50875315629</v>
      </c>
      <c r="AF67" s="306">
        <f t="shared" ref="AF67:AP67" si="49">IFERROR(SUM(N192,-N19),0)</f>
        <v>-98249.999999995431</v>
      </c>
      <c r="AG67" s="307">
        <f t="shared" si="49"/>
        <v>33696</v>
      </c>
      <c r="AH67" s="307">
        <f t="shared" si="49"/>
        <v>33206.879999999997</v>
      </c>
      <c r="AI67" s="307">
        <f t="shared" si="49"/>
        <v>34248.086399999993</v>
      </c>
      <c r="AJ67" s="307">
        <f t="shared" si="49"/>
        <v>36820.528992</v>
      </c>
      <c r="AK67" s="307">
        <f t="shared" si="49"/>
        <v>37925.144861760004</v>
      </c>
      <c r="AL67" s="307">
        <f t="shared" ca="1" si="49"/>
        <v>921987.86849939171</v>
      </c>
      <c r="AM67" s="307">
        <f t="shared" si="49"/>
        <v>0</v>
      </c>
      <c r="AN67" s="307">
        <f t="shared" si="49"/>
        <v>0</v>
      </c>
      <c r="AO67" s="307">
        <f t="shared" si="49"/>
        <v>0</v>
      </c>
      <c r="AP67" s="305">
        <f t="shared" si="49"/>
        <v>0</v>
      </c>
      <c r="AQ67" s="127"/>
    </row>
    <row r="68" spans="8:43" ht="15.75" thickBot="1" x14ac:dyDescent="0.3">
      <c r="H68" s="445"/>
      <c r="I68" s="446"/>
      <c r="J68" s="3" t="s">
        <v>146</v>
      </c>
      <c r="K68" s="279">
        <f>D40*D37/D36</f>
        <v>29471.333333333332</v>
      </c>
      <c r="L68" s="39">
        <f ca="1">M68/M67</f>
        <v>0.91915261810794668</v>
      </c>
      <c r="M68" s="283">
        <f ca="1">M64+K68</f>
        <v>1825345.3983127943</v>
      </c>
      <c r="N68" s="234"/>
      <c r="O68" s="234"/>
      <c r="P68" s="234"/>
      <c r="Q68" s="234"/>
      <c r="R68" s="234"/>
      <c r="S68" s="234"/>
      <c r="T68" s="234"/>
      <c r="U68" s="234"/>
      <c r="V68" s="234"/>
      <c r="W68" s="234"/>
      <c r="X68" s="235"/>
      <c r="Y68" s="127"/>
      <c r="AA68" s="7"/>
      <c r="AB68" s="397"/>
      <c r="AC68" s="129"/>
      <c r="AD68" s="398"/>
      <c r="AE68" s="399"/>
      <c r="AF68" s="400"/>
      <c r="AG68" s="399"/>
      <c r="AH68" s="401"/>
      <c r="AI68" s="401"/>
      <c r="AJ68" s="402"/>
      <c r="AK68" s="403"/>
      <c r="AL68" s="403"/>
      <c r="AM68" s="403"/>
      <c r="AN68" s="129"/>
      <c r="AO68" s="404"/>
      <c r="AP68" s="129"/>
      <c r="AQ68" s="131"/>
    </row>
    <row r="69" spans="8:43" ht="15.75" thickBot="1" x14ac:dyDescent="0.3">
      <c r="H69" s="445"/>
      <c r="I69" s="446"/>
      <c r="J69" s="298" t="s">
        <v>183</v>
      </c>
      <c r="K69" s="280">
        <f>D40</f>
        <v>44207</v>
      </c>
      <c r="L69" s="418">
        <f ca="1">M69/M67</f>
        <v>8.0847381892053358E-2</v>
      </c>
      <c r="M69" s="284">
        <f ca="1">M65+K69</f>
        <v>160554.83452364532</v>
      </c>
      <c r="N69" s="234"/>
      <c r="O69" s="234"/>
      <c r="P69" s="234"/>
      <c r="Q69" s="234"/>
      <c r="R69" s="234"/>
      <c r="S69" s="234"/>
      <c r="T69" s="234"/>
      <c r="U69" s="234"/>
      <c r="V69" s="234"/>
      <c r="W69" s="234"/>
      <c r="X69" s="235"/>
      <c r="Y69" s="127"/>
      <c r="AD69" s="412"/>
      <c r="AE69" s="413"/>
      <c r="AF69" s="412"/>
      <c r="AG69" s="413"/>
      <c r="AH69" s="414"/>
      <c r="AO69" s="415"/>
    </row>
    <row r="70" spans="8:43" x14ac:dyDescent="0.25">
      <c r="H70" s="445"/>
      <c r="I70" s="446"/>
      <c r="J70" s="2"/>
      <c r="K70" s="20"/>
      <c r="L70" s="20"/>
      <c r="M70" s="20"/>
      <c r="N70" s="234"/>
      <c r="O70" s="234"/>
      <c r="P70" s="234"/>
      <c r="Q70" s="234"/>
      <c r="R70" s="234"/>
      <c r="S70" s="234"/>
      <c r="T70" s="234"/>
      <c r="U70" s="234"/>
      <c r="V70" s="234"/>
      <c r="W70" s="234"/>
      <c r="X70" s="235"/>
      <c r="Y70" s="127"/>
      <c r="AB70" s="415"/>
      <c r="AD70" s="412"/>
      <c r="AE70" s="413"/>
      <c r="AF70" s="412"/>
      <c r="AG70" s="413"/>
      <c r="AH70" s="414"/>
      <c r="AO70" s="415"/>
    </row>
    <row r="71" spans="8:43" x14ac:dyDescent="0.25">
      <c r="H71" s="445"/>
      <c r="I71" s="446"/>
      <c r="J71" s="2" t="s">
        <v>139</v>
      </c>
      <c r="K71" s="20"/>
      <c r="L71" s="20"/>
      <c r="M71" s="279">
        <f ca="1">SUM(N71:X71)</f>
        <v>73678.333333333328</v>
      </c>
      <c r="N71" s="279">
        <f t="shared" ref="N71:T71" si="50">SUM(N72:N73)</f>
        <v>0</v>
      </c>
      <c r="O71" s="279">
        <f t="shared" si="50"/>
        <v>0</v>
      </c>
      <c r="P71" s="279">
        <f t="shared" si="50"/>
        <v>0</v>
      </c>
      <c r="Q71" s="279">
        <f t="shared" si="50"/>
        <v>0</v>
      </c>
      <c r="R71" s="279">
        <f t="shared" si="50"/>
        <v>0</v>
      </c>
      <c r="S71" s="279">
        <f t="shared" si="50"/>
        <v>0</v>
      </c>
      <c r="T71" s="279">
        <f t="shared" ca="1" si="50"/>
        <v>73678.333333333328</v>
      </c>
      <c r="U71" s="279">
        <f ca="1">SUM(U72:U73)</f>
        <v>0</v>
      </c>
      <c r="V71" s="279">
        <f t="shared" ref="V71:X71" ca="1" si="51">SUM(V72:V73)</f>
        <v>0</v>
      </c>
      <c r="W71" s="279">
        <f t="shared" ca="1" si="51"/>
        <v>0</v>
      </c>
      <c r="X71" s="299">
        <f t="shared" ca="1" si="51"/>
        <v>0</v>
      </c>
      <c r="Y71" s="393"/>
      <c r="Z71" s="407"/>
      <c r="AA71" s="407"/>
      <c r="AB71" s="415"/>
      <c r="AD71" s="412"/>
      <c r="AE71" s="413"/>
      <c r="AF71" s="412"/>
      <c r="AG71" s="413"/>
      <c r="AH71" s="414"/>
      <c r="AI71" s="412"/>
      <c r="AJ71" s="416"/>
      <c r="AO71" s="415"/>
    </row>
    <row r="72" spans="8:43" x14ac:dyDescent="0.25">
      <c r="H72" s="445"/>
      <c r="I72" s="446"/>
      <c r="J72" s="3" t="s">
        <v>136</v>
      </c>
      <c r="K72" s="20"/>
      <c r="L72" s="39">
        <f ca="1">M72/M71</f>
        <v>0.4</v>
      </c>
      <c r="M72" s="279">
        <f t="shared" ref="M72:M73" ca="1" si="52">SUM(N72:X72)</f>
        <v>29471.333333333332</v>
      </c>
      <c r="N72" s="279">
        <f t="shared" ref="N72:X72" si="53">IF(N$56=0,0,IF(SUM($K$68:$K$69)&lt;N$56,$K68,N$56*$D$37))</f>
        <v>0</v>
      </c>
      <c r="O72" s="279">
        <f t="shared" si="53"/>
        <v>0</v>
      </c>
      <c r="P72" s="279">
        <f t="shared" si="53"/>
        <v>0</v>
      </c>
      <c r="Q72" s="279">
        <f t="shared" si="53"/>
        <v>0</v>
      </c>
      <c r="R72" s="279">
        <f t="shared" si="53"/>
        <v>0</v>
      </c>
      <c r="S72" s="279">
        <f t="shared" si="53"/>
        <v>0</v>
      </c>
      <c r="T72" s="279">
        <f t="shared" ca="1" si="53"/>
        <v>29471.333333333332</v>
      </c>
      <c r="U72" s="279">
        <f t="shared" ca="1" si="53"/>
        <v>0</v>
      </c>
      <c r="V72" s="279">
        <f t="shared" ca="1" si="53"/>
        <v>0</v>
      </c>
      <c r="W72" s="279">
        <f t="shared" ca="1" si="53"/>
        <v>0</v>
      </c>
      <c r="X72" s="299">
        <f t="shared" ca="1" si="53"/>
        <v>0</v>
      </c>
      <c r="Y72" s="127"/>
      <c r="AD72" s="412"/>
      <c r="AE72" s="413"/>
      <c r="AF72" s="412"/>
      <c r="AG72" s="413"/>
      <c r="AH72" s="414"/>
      <c r="AI72" s="417"/>
      <c r="AJ72" s="412"/>
      <c r="AO72" s="415"/>
    </row>
    <row r="73" spans="8:43" x14ac:dyDescent="0.25">
      <c r="H73" s="445"/>
      <c r="I73" s="446"/>
      <c r="J73" s="3" t="s">
        <v>137</v>
      </c>
      <c r="K73" s="20"/>
      <c r="L73" s="39">
        <f ca="1">M73/M71</f>
        <v>0.60000000000000009</v>
      </c>
      <c r="M73" s="279">
        <f t="shared" ca="1" si="52"/>
        <v>44207</v>
      </c>
      <c r="N73" s="279">
        <f t="shared" ref="N73:X73" si="54">IF(N$56=0,0,IF(SUM($K$68:$K$69)&lt;N$56,$K69,N$56*$D$36))</f>
        <v>0</v>
      </c>
      <c r="O73" s="279">
        <f t="shared" si="54"/>
        <v>0</v>
      </c>
      <c r="P73" s="279">
        <f t="shared" si="54"/>
        <v>0</v>
      </c>
      <c r="Q73" s="279">
        <f t="shared" si="54"/>
        <v>0</v>
      </c>
      <c r="R73" s="279">
        <f t="shared" si="54"/>
        <v>0</v>
      </c>
      <c r="S73" s="279">
        <f t="shared" si="54"/>
        <v>0</v>
      </c>
      <c r="T73" s="279">
        <f t="shared" ca="1" si="54"/>
        <v>44207</v>
      </c>
      <c r="U73" s="279">
        <f t="shared" ca="1" si="54"/>
        <v>0</v>
      </c>
      <c r="V73" s="279">
        <f t="shared" ca="1" si="54"/>
        <v>0</v>
      </c>
      <c r="W73" s="279">
        <f t="shared" ca="1" si="54"/>
        <v>0</v>
      </c>
      <c r="X73" s="299">
        <f t="shared" ca="1" si="54"/>
        <v>0</v>
      </c>
      <c r="Y73" s="127"/>
      <c r="AB73" s="415"/>
      <c r="AD73" s="412"/>
      <c r="AE73" s="413"/>
      <c r="AF73" s="412"/>
      <c r="AG73" s="413"/>
      <c r="AH73" s="414"/>
      <c r="AO73" s="415"/>
    </row>
    <row r="74" spans="8:43" x14ac:dyDescent="0.25">
      <c r="H74" s="445"/>
      <c r="I74" s="446"/>
      <c r="J74" s="2"/>
      <c r="K74" s="20"/>
      <c r="L74" s="20"/>
      <c r="M74" s="20"/>
      <c r="N74" s="20"/>
      <c r="O74" s="20"/>
      <c r="P74" s="20"/>
      <c r="Q74" s="20"/>
      <c r="R74" s="20"/>
      <c r="S74" s="20"/>
      <c r="T74" s="20"/>
      <c r="U74" s="20"/>
      <c r="V74" s="20"/>
      <c r="W74" s="20"/>
      <c r="X74" s="83"/>
      <c r="Y74" s="127"/>
      <c r="AD74" s="412"/>
      <c r="AE74" s="413"/>
      <c r="AF74" s="412"/>
      <c r="AG74" s="413"/>
      <c r="AH74" s="414"/>
      <c r="AO74" s="415"/>
    </row>
    <row r="75" spans="8:43" x14ac:dyDescent="0.25">
      <c r="H75" s="445"/>
      <c r="I75" s="446"/>
      <c r="J75" s="52" t="s">
        <v>147</v>
      </c>
      <c r="K75" s="234"/>
      <c r="L75" s="39">
        <f ca="1">SUM(L76:L77)</f>
        <v>1</v>
      </c>
      <c r="M75" s="234">
        <f ca="1">SUM(M76:M77)</f>
        <v>1985900.2328364395</v>
      </c>
      <c r="N75" s="279">
        <f t="shared" ref="N75:X75" si="55">N63+N71</f>
        <v>-3964999.9999999115</v>
      </c>
      <c r="O75" s="279">
        <f t="shared" si="55"/>
        <v>322320.06953694159</v>
      </c>
      <c r="P75" s="279">
        <f t="shared" si="55"/>
        <v>294661.18953694159</v>
      </c>
      <c r="Q75" s="279">
        <f t="shared" si="55"/>
        <v>263156.2691180238</v>
      </c>
      <c r="R75" s="279">
        <f t="shared" si="55"/>
        <v>338766.61332602391</v>
      </c>
      <c r="S75" s="279">
        <f t="shared" si="55"/>
        <v>406540.26786026394</v>
      </c>
      <c r="T75" s="279">
        <f t="shared" ca="1" si="55"/>
        <v>4325455.8234581565</v>
      </c>
      <c r="U75" s="279">
        <f t="shared" ca="1" si="55"/>
        <v>0</v>
      </c>
      <c r="V75" s="279">
        <f t="shared" ca="1" si="55"/>
        <v>0</v>
      </c>
      <c r="W75" s="279">
        <f t="shared" ca="1" si="55"/>
        <v>0</v>
      </c>
      <c r="X75" s="299">
        <f t="shared" ca="1" si="55"/>
        <v>0</v>
      </c>
      <c r="Y75" s="127"/>
      <c r="AD75" s="412"/>
      <c r="AE75" s="413"/>
      <c r="AF75" s="412"/>
      <c r="AG75" s="413"/>
      <c r="AH75" s="414"/>
      <c r="AO75" s="415"/>
    </row>
    <row r="76" spans="8:43" x14ac:dyDescent="0.25">
      <c r="H76" s="445"/>
      <c r="I76" s="446"/>
      <c r="J76" s="3" t="s">
        <v>148</v>
      </c>
      <c r="K76" s="234"/>
      <c r="L76" s="39">
        <f ca="1">M76/M75</f>
        <v>0.91915261810794668</v>
      </c>
      <c r="M76" s="234">
        <f ca="1">IF(M72&lt;K68,M72+M64,M64+K68)</f>
        <v>1825345.3983127943</v>
      </c>
      <c r="N76" s="279">
        <f t="shared" ref="N76:X76" si="56">N64+N72</f>
        <v>-3766749.9999999162</v>
      </c>
      <c r="O76" s="279">
        <f t="shared" si="56"/>
        <v>322320.06953694159</v>
      </c>
      <c r="P76" s="279">
        <f t="shared" si="56"/>
        <v>294661.18953694159</v>
      </c>
      <c r="Q76" s="279">
        <f t="shared" si="56"/>
        <v>263156.2691180238</v>
      </c>
      <c r="R76" s="279">
        <f t="shared" si="56"/>
        <v>338766.61332602391</v>
      </c>
      <c r="S76" s="279">
        <f t="shared" si="56"/>
        <v>406540.26786026394</v>
      </c>
      <c r="T76" s="279">
        <f t="shared" ca="1" si="56"/>
        <v>3966650.9889345155</v>
      </c>
      <c r="U76" s="279">
        <f t="shared" ca="1" si="56"/>
        <v>0</v>
      </c>
      <c r="V76" s="279">
        <f t="shared" ca="1" si="56"/>
        <v>0</v>
      </c>
      <c r="W76" s="279">
        <f t="shared" ca="1" si="56"/>
        <v>0</v>
      </c>
      <c r="X76" s="299">
        <f t="shared" ca="1" si="56"/>
        <v>0</v>
      </c>
      <c r="Y76" s="127"/>
      <c r="AB76" s="416"/>
      <c r="AD76" s="412"/>
      <c r="AE76" s="413"/>
      <c r="AF76" s="412"/>
      <c r="AG76" s="413"/>
      <c r="AH76" s="414"/>
      <c r="AO76" s="415"/>
    </row>
    <row r="77" spans="8:43" x14ac:dyDescent="0.25">
      <c r="H77" s="445"/>
      <c r="I77" s="446"/>
      <c r="J77" s="3" t="s">
        <v>149</v>
      </c>
      <c r="K77" s="234"/>
      <c r="L77" s="39">
        <f ca="1">M77/M75</f>
        <v>8.0847381892053358E-2</v>
      </c>
      <c r="M77" s="234">
        <f ca="1">IF(M73&lt;K69,M73+M65,M65+K69)</f>
        <v>160554.83452364532</v>
      </c>
      <c r="N77" s="279">
        <f t="shared" ref="N77:X77" si="57">N65+N73</f>
        <v>-198249.99999999543</v>
      </c>
      <c r="O77" s="279">
        <f t="shared" si="57"/>
        <v>0</v>
      </c>
      <c r="P77" s="279">
        <f t="shared" si="57"/>
        <v>0</v>
      </c>
      <c r="Q77" s="279">
        <f t="shared" si="57"/>
        <v>0</v>
      </c>
      <c r="R77" s="279">
        <f t="shared" si="57"/>
        <v>0</v>
      </c>
      <c r="S77" s="279">
        <f t="shared" si="57"/>
        <v>0</v>
      </c>
      <c r="T77" s="279">
        <f t="shared" ca="1" si="57"/>
        <v>358804.83452364075</v>
      </c>
      <c r="U77" s="279">
        <f t="shared" ca="1" si="57"/>
        <v>0</v>
      </c>
      <c r="V77" s="279">
        <f t="shared" ca="1" si="57"/>
        <v>0</v>
      </c>
      <c r="W77" s="279">
        <f t="shared" ca="1" si="57"/>
        <v>0</v>
      </c>
      <c r="X77" s="299">
        <f t="shared" ca="1" si="57"/>
        <v>0</v>
      </c>
      <c r="Y77" s="127"/>
      <c r="AB77" s="412"/>
      <c r="AD77" s="412"/>
      <c r="AE77" s="413"/>
      <c r="AF77" s="412"/>
      <c r="AG77" s="413"/>
      <c r="AH77" s="414"/>
    </row>
    <row r="78" spans="8:43" x14ac:dyDescent="0.25">
      <c r="H78" s="445"/>
      <c r="I78" s="446"/>
      <c r="J78" s="2"/>
      <c r="K78" s="20"/>
      <c r="L78" s="20"/>
      <c r="M78" s="300"/>
      <c r="N78" s="300"/>
      <c r="O78" s="20"/>
      <c r="P78" s="20"/>
      <c r="Q78" s="20"/>
      <c r="R78" s="20"/>
      <c r="S78" s="20"/>
      <c r="T78" s="20"/>
      <c r="U78" s="20"/>
      <c r="V78" s="20"/>
      <c r="W78" s="20"/>
      <c r="X78" s="83"/>
      <c r="Y78" s="127"/>
      <c r="AD78" s="412"/>
      <c r="AE78" s="413"/>
      <c r="AF78" s="412"/>
      <c r="AG78" s="413"/>
      <c r="AH78" s="414"/>
    </row>
    <row r="79" spans="8:43" x14ac:dyDescent="0.25">
      <c r="H79" s="445"/>
      <c r="I79" s="446"/>
      <c r="J79" s="2" t="s">
        <v>143</v>
      </c>
      <c r="K79" s="20"/>
      <c r="L79" s="301" t="str">
        <f t="shared" ref="L79:L80" ca="1" si="58">IF(ROUND(SUM(N75:X75),2)=ROUND(M71+M63,2),"All Good","Error")</f>
        <v>All Good</v>
      </c>
      <c r="M79" s="20"/>
      <c r="N79" s="20"/>
      <c r="O79" s="20"/>
      <c r="P79" s="20"/>
      <c r="Q79" s="20"/>
      <c r="R79" s="20"/>
      <c r="S79" s="20"/>
      <c r="T79" s="20"/>
      <c r="U79" s="20"/>
      <c r="V79" s="20"/>
      <c r="W79" s="20"/>
      <c r="X79" s="83"/>
      <c r="Y79" s="127"/>
      <c r="AD79" s="412"/>
      <c r="AE79" s="413"/>
      <c r="AF79" s="412"/>
      <c r="AG79" s="413"/>
      <c r="AH79" s="414"/>
    </row>
    <row r="80" spans="8:43" x14ac:dyDescent="0.25">
      <c r="H80" s="445"/>
      <c r="I80" s="446"/>
      <c r="J80" s="2" t="s">
        <v>144</v>
      </c>
      <c r="K80" s="20"/>
      <c r="L80" s="301" t="str">
        <f t="shared" ca="1" si="58"/>
        <v>All Good</v>
      </c>
      <c r="M80" s="20"/>
      <c r="N80" s="20"/>
      <c r="O80" s="20"/>
      <c r="P80" s="20"/>
      <c r="Q80" s="20"/>
      <c r="R80" s="20"/>
      <c r="S80" s="20"/>
      <c r="T80" s="20"/>
      <c r="U80" s="20"/>
      <c r="V80" s="20"/>
      <c r="W80" s="20"/>
      <c r="X80" s="83"/>
      <c r="Y80" s="127"/>
      <c r="AD80" s="412"/>
      <c r="AE80" s="413"/>
      <c r="AF80" s="412"/>
      <c r="AG80" s="413"/>
      <c r="AH80" s="414"/>
    </row>
    <row r="81" spans="8:34" x14ac:dyDescent="0.25">
      <c r="H81" s="445"/>
      <c r="I81" s="446"/>
      <c r="J81" s="2" t="s">
        <v>145</v>
      </c>
      <c r="K81" s="20"/>
      <c r="L81" s="301" t="str">
        <f ca="1">IF(ROUND(SUM(N77:X77),2)=ROUND(M73+M65,2),"All Good","Error")</f>
        <v>All Good</v>
      </c>
      <c r="M81" s="234"/>
      <c r="N81" s="279"/>
      <c r="O81" s="20"/>
      <c r="P81" s="20"/>
      <c r="Q81" s="20"/>
      <c r="R81" s="20"/>
      <c r="S81" s="20"/>
      <c r="T81" s="20"/>
      <c r="U81" s="20"/>
      <c r="V81" s="20"/>
      <c r="W81" s="20"/>
      <c r="X81" s="83"/>
      <c r="Y81" s="127"/>
      <c r="AD81" s="412"/>
      <c r="AE81" s="413"/>
      <c r="AF81" s="412"/>
      <c r="AG81" s="413"/>
      <c r="AH81" s="414"/>
    </row>
    <row r="82" spans="8:34" x14ac:dyDescent="0.25">
      <c r="H82" s="445"/>
      <c r="I82" s="446"/>
      <c r="J82" s="2"/>
      <c r="K82" s="20"/>
      <c r="L82" s="20"/>
      <c r="M82" s="20"/>
      <c r="N82" s="20"/>
      <c r="O82" s="20"/>
      <c r="P82" s="20"/>
      <c r="Q82" s="20"/>
      <c r="R82" s="20"/>
      <c r="S82" s="20"/>
      <c r="T82" s="20"/>
      <c r="U82" s="20"/>
      <c r="V82" s="20"/>
      <c r="W82" s="20"/>
      <c r="X82" s="83"/>
      <c r="Y82" s="127"/>
      <c r="AD82" s="412"/>
      <c r="AE82" s="413"/>
      <c r="AF82" s="412"/>
      <c r="AG82" s="413"/>
      <c r="AH82" s="414"/>
    </row>
    <row r="83" spans="8:34" ht="15" customHeight="1" x14ac:dyDescent="0.25">
      <c r="H83" s="6"/>
      <c r="I83" s="20"/>
      <c r="J83" s="114"/>
      <c r="K83" s="338" t="s">
        <v>54</v>
      </c>
      <c r="L83" s="338" t="s">
        <v>55</v>
      </c>
      <c r="M83" s="338" t="s">
        <v>114</v>
      </c>
      <c r="N83" s="218"/>
      <c r="O83" s="218"/>
      <c r="P83" s="218"/>
      <c r="Q83" s="218"/>
      <c r="R83" s="218"/>
      <c r="S83" s="218"/>
      <c r="T83" s="218"/>
      <c r="U83" s="218"/>
      <c r="V83" s="218"/>
      <c r="W83" s="218"/>
      <c r="X83" s="261"/>
      <c r="Y83" s="127"/>
      <c r="AB83" s="414"/>
      <c r="AD83" s="412"/>
      <c r="AE83" s="413"/>
      <c r="AF83" s="412"/>
      <c r="AG83" s="413"/>
      <c r="AH83" s="414"/>
    </row>
    <row r="84" spans="8:34" x14ac:dyDescent="0.25">
      <c r="H84" s="6"/>
      <c r="I84" s="20"/>
      <c r="J84" s="308" t="s">
        <v>147</v>
      </c>
      <c r="K84" s="303">
        <f ca="1">IRR(N84:X84)</f>
        <v>8.2505732941116294E-2</v>
      </c>
      <c r="L84" s="304">
        <f ca="1">SUMIF(N84:X84,"&gt;0")/-SUMIF(N84:X84,"&lt;0")</f>
        <v>1.5008575618755318</v>
      </c>
      <c r="M84" s="305">
        <f ca="1">SUM(M85:M87)</f>
        <v>1985900.2328364397</v>
      </c>
      <c r="N84" s="306">
        <f>SUM(N85:N87)</f>
        <v>-3964999.9999999115</v>
      </c>
      <c r="O84" s="307">
        <f>SUM(O85:O87)</f>
        <v>322320.06953694159</v>
      </c>
      <c r="P84" s="307">
        <f t="shared" ref="P84:X84" si="59">SUM(P85:P87)</f>
        <v>294661.18953694159</v>
      </c>
      <c r="Q84" s="307">
        <f t="shared" si="59"/>
        <v>263156.2691180238</v>
      </c>
      <c r="R84" s="307">
        <f t="shared" si="59"/>
        <v>338766.61332602391</v>
      </c>
      <c r="S84" s="307">
        <f t="shared" si="59"/>
        <v>406540.26786026394</v>
      </c>
      <c r="T84" s="307">
        <f t="shared" ca="1" si="59"/>
        <v>4325455.8234581565</v>
      </c>
      <c r="U84" s="307">
        <f ca="1">SUM(U85:U87)</f>
        <v>0</v>
      </c>
      <c r="V84" s="307">
        <f t="shared" ca="1" si="59"/>
        <v>0</v>
      </c>
      <c r="W84" s="307">
        <f t="shared" ca="1" si="59"/>
        <v>0</v>
      </c>
      <c r="X84" s="305">
        <f t="shared" ca="1" si="59"/>
        <v>0</v>
      </c>
      <c r="Y84" s="127"/>
      <c r="AD84" s="412"/>
      <c r="AE84" s="413"/>
      <c r="AF84" s="412"/>
      <c r="AG84" s="413"/>
      <c r="AH84" s="414"/>
    </row>
    <row r="85" spans="8:34" x14ac:dyDescent="0.25">
      <c r="H85" s="6"/>
      <c r="I85" s="20"/>
      <c r="J85" s="285" t="s">
        <v>125</v>
      </c>
      <c r="K85" s="293">
        <f ca="1">IRR(N85:X85)</f>
        <v>8.1069909192471368E-2</v>
      </c>
      <c r="L85" s="289">
        <f ca="1">SUMIF(N85:X85,"&gt;0")/-SUMIF(N85:X85,"&lt;0")</f>
        <v>1.48459425189164</v>
      </c>
      <c r="M85" s="290">
        <f ca="1">SUM(N85:X85)</f>
        <v>1537132.9670002481</v>
      </c>
      <c r="N85" s="287">
        <f t="shared" ref="N85:X85" si="60">N37+(N72*$D$38/$D$37)</f>
        <v>-3171999.9999999292</v>
      </c>
      <c r="O85" s="254">
        <f t="shared" si="60"/>
        <v>271427.4269784771</v>
      </c>
      <c r="P85" s="254">
        <f t="shared" si="60"/>
        <v>248135.73855742448</v>
      </c>
      <c r="Q85" s="254">
        <f t="shared" si="60"/>
        <v>221605.2792572832</v>
      </c>
      <c r="R85" s="254">
        <f t="shared" si="60"/>
        <v>285277.14806402015</v>
      </c>
      <c r="S85" s="254">
        <f t="shared" si="60"/>
        <v>342349.69925074856</v>
      </c>
      <c r="T85" s="254">
        <f t="shared" ca="1" si="60"/>
        <v>3340337.6748922239</v>
      </c>
      <c r="U85" s="254">
        <f t="shared" ca="1" si="60"/>
        <v>0</v>
      </c>
      <c r="V85" s="254">
        <f t="shared" ca="1" si="60"/>
        <v>0</v>
      </c>
      <c r="W85" s="254">
        <f t="shared" ca="1" si="60"/>
        <v>0</v>
      </c>
      <c r="X85" s="255">
        <f t="shared" ca="1" si="60"/>
        <v>0</v>
      </c>
      <c r="Y85" s="127"/>
      <c r="AD85" s="412"/>
      <c r="AE85" s="413"/>
      <c r="AF85" s="412"/>
      <c r="AG85" s="413"/>
      <c r="AH85" s="414"/>
    </row>
    <row r="86" spans="8:34" x14ac:dyDescent="0.25">
      <c r="H86" s="6"/>
      <c r="I86" s="20"/>
      <c r="J86" s="285" t="s">
        <v>126</v>
      </c>
      <c r="K86" s="293">
        <f ca="1">IFERROR(IRR(N86:X86),"")</f>
        <v>8.1069909192470924E-2</v>
      </c>
      <c r="L86" s="289">
        <f ca="1">IFERROR(SUMIF(N86:X86,"&gt;0")/-SUMIF(N86:X86,"&lt;0"),"")</f>
        <v>1.4845942518916397</v>
      </c>
      <c r="M86" s="290">
        <f ca="1">SUM(N86:X86)</f>
        <v>288212.43131254637</v>
      </c>
      <c r="N86" s="287">
        <f t="shared" ref="N86:X86" si="61">N38+(N72*$D$39/$D$37)</f>
        <v>-594749.99999998673</v>
      </c>
      <c r="O86" s="254">
        <f t="shared" si="61"/>
        <v>50892.64255846446</v>
      </c>
      <c r="P86" s="254">
        <f t="shared" si="61"/>
        <v>46525.450979517089</v>
      </c>
      <c r="Q86" s="254">
        <f t="shared" si="61"/>
        <v>41550.989860740599</v>
      </c>
      <c r="R86" s="254">
        <f t="shared" si="61"/>
        <v>53489.465262003774</v>
      </c>
      <c r="S86" s="254">
        <f t="shared" si="61"/>
        <v>64190.568609515358</v>
      </c>
      <c r="T86" s="254">
        <f t="shared" ca="1" si="61"/>
        <v>626313.31404229184</v>
      </c>
      <c r="U86" s="254">
        <f t="shared" ca="1" si="61"/>
        <v>0</v>
      </c>
      <c r="V86" s="254">
        <f t="shared" ca="1" si="61"/>
        <v>0</v>
      </c>
      <c r="W86" s="254">
        <f t="shared" ca="1" si="61"/>
        <v>0</v>
      </c>
      <c r="X86" s="255">
        <f t="shared" ca="1" si="61"/>
        <v>0</v>
      </c>
      <c r="Y86" s="127"/>
      <c r="AD86" s="412"/>
      <c r="AE86" s="413"/>
      <c r="AF86" s="412"/>
      <c r="AG86" s="413"/>
      <c r="AH86" s="414"/>
    </row>
    <row r="87" spans="8:34" x14ac:dyDescent="0.25">
      <c r="H87" s="6"/>
      <c r="I87" s="20"/>
      <c r="J87" s="286" t="s">
        <v>108</v>
      </c>
      <c r="K87" s="294">
        <f t="shared" ref="K87" ca="1" si="62">IRR(N87:X87)</f>
        <v>0.10392825274507511</v>
      </c>
      <c r="L87" s="291">
        <f ca="1">SUMIF(N87:X87,"&gt;0")/-SUMIF(N87:X87,"&lt;0")</f>
        <v>1.8098604515694781</v>
      </c>
      <c r="M87" s="292">
        <f ca="1">SUM(N87:X87)</f>
        <v>160554.83452364532</v>
      </c>
      <c r="N87" s="288">
        <f t="shared" ref="N87:X87" si="63">N77</f>
        <v>-198249.99999999543</v>
      </c>
      <c r="O87" s="257">
        <f t="shared" si="63"/>
        <v>0</v>
      </c>
      <c r="P87" s="257">
        <f t="shared" si="63"/>
        <v>0</v>
      </c>
      <c r="Q87" s="257">
        <f t="shared" si="63"/>
        <v>0</v>
      </c>
      <c r="R87" s="257">
        <f t="shared" si="63"/>
        <v>0</v>
      </c>
      <c r="S87" s="257">
        <f t="shared" si="63"/>
        <v>0</v>
      </c>
      <c r="T87" s="257">
        <f t="shared" ca="1" si="63"/>
        <v>358804.83452364075</v>
      </c>
      <c r="U87" s="257">
        <f t="shared" ca="1" si="63"/>
        <v>0</v>
      </c>
      <c r="V87" s="257">
        <f t="shared" ca="1" si="63"/>
        <v>0</v>
      </c>
      <c r="W87" s="257">
        <f t="shared" ca="1" si="63"/>
        <v>0</v>
      </c>
      <c r="X87" s="258">
        <f t="shared" ca="1" si="63"/>
        <v>0</v>
      </c>
      <c r="Y87" s="127"/>
      <c r="AD87" s="412"/>
      <c r="AE87" s="413"/>
      <c r="AF87" s="412"/>
      <c r="AG87" s="413"/>
      <c r="AH87" s="414"/>
    </row>
    <row r="88" spans="8:34" x14ac:dyDescent="0.25">
      <c r="H88" s="6"/>
      <c r="I88" s="20"/>
      <c r="J88" s="49"/>
      <c r="K88" s="50"/>
      <c r="L88" s="50"/>
      <c r="M88" s="50"/>
      <c r="N88" s="302"/>
      <c r="O88" s="50"/>
      <c r="P88" s="50"/>
      <c r="Q88" s="50"/>
      <c r="R88" s="50"/>
      <c r="S88" s="50"/>
      <c r="T88" s="50"/>
      <c r="U88" s="50"/>
      <c r="V88" s="50"/>
      <c r="W88" s="50"/>
      <c r="X88" s="213"/>
      <c r="Y88" s="127"/>
      <c r="AD88" s="412"/>
      <c r="AE88" s="413"/>
      <c r="AF88" s="412"/>
      <c r="AG88" s="413"/>
      <c r="AH88" s="414"/>
    </row>
    <row r="89" spans="8:34" x14ac:dyDescent="0.25">
      <c r="H89" s="6"/>
      <c r="I89" s="20"/>
      <c r="J89" s="67" t="s">
        <v>132</v>
      </c>
      <c r="K89" s="20"/>
      <c r="L89" s="20"/>
      <c r="M89" s="234"/>
      <c r="N89" s="231">
        <f t="shared" ref="N89:X89" si="64">IF($D$32="no",N56,IF(N56=0,0,SUM(-N84,N26)))</f>
        <v>0</v>
      </c>
      <c r="O89" s="231">
        <f t="shared" si="64"/>
        <v>0</v>
      </c>
      <c r="P89" s="231">
        <f t="shared" si="64"/>
        <v>0</v>
      </c>
      <c r="Q89" s="231">
        <f t="shared" si="64"/>
        <v>0</v>
      </c>
      <c r="R89" s="231">
        <f t="shared" si="64"/>
        <v>0</v>
      </c>
      <c r="S89" s="231">
        <f t="shared" si="64"/>
        <v>0</v>
      </c>
      <c r="T89" s="231">
        <f t="shared" ca="1" si="64"/>
        <v>3326781.6943456633</v>
      </c>
      <c r="U89" s="231">
        <f t="shared" ca="1" si="64"/>
        <v>0</v>
      </c>
      <c r="V89" s="231">
        <f t="shared" ca="1" si="64"/>
        <v>0</v>
      </c>
      <c r="W89" s="231">
        <f t="shared" ca="1" si="64"/>
        <v>0</v>
      </c>
      <c r="X89" s="232">
        <f t="shared" ca="1" si="64"/>
        <v>0</v>
      </c>
      <c r="Y89" s="127"/>
      <c r="AD89" s="412"/>
      <c r="AE89" s="413"/>
      <c r="AF89" s="412"/>
      <c r="AG89" s="413"/>
      <c r="AH89" s="414"/>
    </row>
    <row r="90" spans="8:34" x14ac:dyDescent="0.25">
      <c r="H90" s="6"/>
      <c r="I90" s="20"/>
      <c r="J90" s="4"/>
      <c r="K90" s="21"/>
      <c r="L90" s="21"/>
      <c r="M90" s="237"/>
      <c r="N90" s="21"/>
      <c r="O90" s="21"/>
      <c r="P90" s="21"/>
      <c r="Q90" s="21"/>
      <c r="R90" s="21"/>
      <c r="S90" s="21"/>
      <c r="T90" s="21"/>
      <c r="U90" s="21"/>
      <c r="V90" s="21"/>
      <c r="W90" s="21"/>
      <c r="X90" s="217"/>
      <c r="Y90" s="393"/>
      <c r="Z90" s="407"/>
      <c r="AA90" s="407"/>
      <c r="AD90" s="412"/>
      <c r="AE90" s="413"/>
      <c r="AF90" s="412"/>
      <c r="AG90" s="413"/>
      <c r="AH90" s="414"/>
    </row>
    <row r="91" spans="8:34" x14ac:dyDescent="0.25">
      <c r="H91" s="6"/>
      <c r="I91" s="20"/>
      <c r="J91" s="453" t="str">
        <f ca="1">IF(SUM(N89:X89)=0,"NO MORE CASH TO DISTRIBUTE","")</f>
        <v/>
      </c>
      <c r="K91" s="437"/>
      <c r="L91" s="437"/>
      <c r="M91" s="437"/>
      <c r="N91" s="437"/>
      <c r="O91" s="437"/>
      <c r="P91" s="437"/>
      <c r="Q91" s="437"/>
      <c r="R91" s="437"/>
      <c r="S91" s="437"/>
      <c r="T91" s="437"/>
      <c r="U91" s="437"/>
      <c r="V91" s="437"/>
      <c r="W91" s="437"/>
      <c r="X91" s="454"/>
      <c r="Y91" s="393"/>
      <c r="Z91" s="407"/>
      <c r="AA91" s="407"/>
      <c r="AD91" s="412"/>
      <c r="AE91" s="413"/>
      <c r="AF91" s="412"/>
      <c r="AG91" s="413"/>
      <c r="AH91" s="414"/>
    </row>
    <row r="92" spans="8:34" x14ac:dyDescent="0.25">
      <c r="H92" s="6"/>
      <c r="I92" s="20"/>
      <c r="J92" s="450"/>
      <c r="K92" s="451"/>
      <c r="L92" s="451"/>
      <c r="M92" s="451"/>
      <c r="N92" s="451"/>
      <c r="O92" s="451"/>
      <c r="P92" s="451"/>
      <c r="Q92" s="451"/>
      <c r="R92" s="451"/>
      <c r="S92" s="451"/>
      <c r="T92" s="451"/>
      <c r="U92" s="451"/>
      <c r="V92" s="451"/>
      <c r="W92" s="451"/>
      <c r="X92" s="452"/>
      <c r="Y92" s="393"/>
      <c r="Z92" s="407"/>
      <c r="AA92" s="407"/>
      <c r="AD92" s="412"/>
      <c r="AE92" s="413"/>
      <c r="AF92" s="412"/>
      <c r="AG92" s="413"/>
      <c r="AH92" s="414"/>
    </row>
    <row r="93" spans="8:34" x14ac:dyDescent="0.25">
      <c r="H93" s="6"/>
      <c r="I93" s="20"/>
      <c r="J93" s="317" t="s">
        <v>153</v>
      </c>
      <c r="K93" s="319"/>
      <c r="L93" s="319"/>
      <c r="M93" s="319"/>
      <c r="N93" s="319"/>
      <c r="O93" s="319"/>
      <c r="P93" s="319"/>
      <c r="Q93" s="319"/>
      <c r="R93" s="319"/>
      <c r="S93" s="319"/>
      <c r="T93" s="319"/>
      <c r="U93" s="319"/>
      <c r="V93" s="319"/>
      <c r="W93" s="319"/>
      <c r="X93" s="318"/>
      <c r="Y93" s="127"/>
      <c r="AD93" s="412"/>
      <c r="AE93" s="413"/>
      <c r="AF93" s="412"/>
      <c r="AG93" s="413"/>
      <c r="AH93" s="414"/>
    </row>
    <row r="94" spans="8:34" x14ac:dyDescent="0.25">
      <c r="H94" s="6"/>
      <c r="I94" s="20"/>
      <c r="J94" s="18"/>
      <c r="K94" s="315"/>
      <c r="L94" s="315"/>
      <c r="M94" s="315"/>
      <c r="N94" s="315">
        <v>0</v>
      </c>
      <c r="O94" s="315">
        <v>1</v>
      </c>
      <c r="P94" s="315">
        <v>2</v>
      </c>
      <c r="Q94" s="315">
        <v>3</v>
      </c>
      <c r="R94" s="315">
        <v>4</v>
      </c>
      <c r="S94" s="315">
        <v>5</v>
      </c>
      <c r="T94" s="315">
        <v>6</v>
      </c>
      <c r="U94" s="315">
        <v>7</v>
      </c>
      <c r="V94" s="315">
        <v>8</v>
      </c>
      <c r="W94" s="315">
        <v>9</v>
      </c>
      <c r="X94" s="316">
        <v>10</v>
      </c>
      <c r="Y94" s="127"/>
      <c r="AD94" s="412"/>
      <c r="AE94" s="413"/>
      <c r="AF94" s="412"/>
      <c r="AG94" s="413"/>
      <c r="AH94" s="414"/>
    </row>
    <row r="95" spans="8:34" x14ac:dyDescent="0.25">
      <c r="H95" s="6"/>
      <c r="I95" s="20"/>
      <c r="J95" s="2"/>
      <c r="K95" s="20"/>
      <c r="L95" s="20"/>
      <c r="M95" s="20"/>
      <c r="N95" s="20"/>
      <c r="O95" s="20"/>
      <c r="P95" s="20"/>
      <c r="Q95" s="20"/>
      <c r="R95" s="20"/>
      <c r="S95" s="20"/>
      <c r="T95" s="20"/>
      <c r="U95" s="20"/>
      <c r="V95" s="20"/>
      <c r="W95" s="20"/>
      <c r="X95" s="83"/>
      <c r="Y95" s="127"/>
      <c r="AD95" s="412"/>
      <c r="AE95" s="413"/>
      <c r="AF95" s="412"/>
      <c r="AG95" s="413"/>
      <c r="AH95" s="414"/>
    </row>
    <row r="96" spans="8:34" x14ac:dyDescent="0.25">
      <c r="H96" s="6"/>
      <c r="I96" s="20"/>
      <c r="J96" s="2" t="s">
        <v>154</v>
      </c>
      <c r="K96" s="20"/>
      <c r="L96" s="20"/>
      <c r="M96" s="20"/>
      <c r="N96" s="234">
        <f t="shared" ref="N96:X96" si="65">N$89*$D45</f>
        <v>0</v>
      </c>
      <c r="O96" s="234">
        <f t="shared" si="65"/>
        <v>0</v>
      </c>
      <c r="P96" s="234">
        <f t="shared" si="65"/>
        <v>0</v>
      </c>
      <c r="Q96" s="234">
        <f t="shared" si="65"/>
        <v>0</v>
      </c>
      <c r="R96" s="234">
        <f t="shared" si="65"/>
        <v>0</v>
      </c>
      <c r="S96" s="234">
        <f t="shared" si="65"/>
        <v>0</v>
      </c>
      <c r="T96" s="234">
        <f t="shared" ca="1" si="65"/>
        <v>2927567.8910241839</v>
      </c>
      <c r="U96" s="279">
        <f t="shared" ca="1" si="65"/>
        <v>0</v>
      </c>
      <c r="V96" s="234">
        <f t="shared" ca="1" si="65"/>
        <v>0</v>
      </c>
      <c r="W96" s="234">
        <f t="shared" ca="1" si="65"/>
        <v>0</v>
      </c>
      <c r="X96" s="235">
        <f t="shared" ca="1" si="65"/>
        <v>0</v>
      </c>
      <c r="Y96" s="127"/>
      <c r="AD96" s="412"/>
      <c r="AE96" s="413"/>
      <c r="AF96" s="412"/>
      <c r="AG96" s="413"/>
      <c r="AH96" s="414"/>
    </row>
    <row r="97" spans="8:34" x14ac:dyDescent="0.25">
      <c r="H97" s="6"/>
      <c r="I97" s="20"/>
      <c r="J97" s="2" t="s">
        <v>184</v>
      </c>
      <c r="K97" s="20"/>
      <c r="L97" s="20"/>
      <c r="M97" s="20"/>
      <c r="N97" s="234">
        <f t="shared" ref="N97:X97" si="66">N$89*$D44</f>
        <v>0</v>
      </c>
      <c r="O97" s="234">
        <f t="shared" si="66"/>
        <v>0</v>
      </c>
      <c r="P97" s="234">
        <f t="shared" si="66"/>
        <v>0</v>
      </c>
      <c r="Q97" s="234">
        <f t="shared" si="66"/>
        <v>0</v>
      </c>
      <c r="R97" s="234">
        <f t="shared" si="66"/>
        <v>0</v>
      </c>
      <c r="S97" s="234">
        <f t="shared" si="66"/>
        <v>0</v>
      </c>
      <c r="T97" s="234">
        <f t="shared" ca="1" si="66"/>
        <v>399213.80332147959</v>
      </c>
      <c r="U97" s="234">
        <f t="shared" ca="1" si="66"/>
        <v>0</v>
      </c>
      <c r="V97" s="234">
        <f t="shared" ca="1" si="66"/>
        <v>0</v>
      </c>
      <c r="W97" s="234">
        <f t="shared" ca="1" si="66"/>
        <v>0</v>
      </c>
      <c r="X97" s="235">
        <f t="shared" ca="1" si="66"/>
        <v>0</v>
      </c>
      <c r="Y97" s="127"/>
      <c r="AB97" s="416"/>
      <c r="AD97" s="412"/>
      <c r="AE97" s="413"/>
      <c r="AF97" s="412"/>
      <c r="AG97" s="413"/>
      <c r="AH97" s="414"/>
    </row>
    <row r="98" spans="8:34" x14ac:dyDescent="0.25">
      <c r="H98" s="6"/>
      <c r="I98" s="20"/>
      <c r="J98" s="2"/>
      <c r="K98" s="20"/>
      <c r="L98" s="20"/>
      <c r="M98" s="20"/>
      <c r="N98" s="20"/>
      <c r="O98" s="20"/>
      <c r="P98" s="20"/>
      <c r="Q98" s="20"/>
      <c r="R98" s="20"/>
      <c r="S98" s="20"/>
      <c r="T98" s="20"/>
      <c r="U98" s="20"/>
      <c r="V98" s="20"/>
      <c r="W98" s="20"/>
      <c r="X98" s="83"/>
      <c r="Y98" s="127"/>
      <c r="AD98" s="412"/>
      <c r="AE98" s="413"/>
      <c r="AF98" s="412"/>
      <c r="AG98" s="413"/>
      <c r="AH98" s="414"/>
    </row>
    <row r="99" spans="8:34" x14ac:dyDescent="0.25">
      <c r="H99" s="6"/>
      <c r="I99" s="20"/>
      <c r="J99" s="67" t="s">
        <v>117</v>
      </c>
      <c r="K99" s="20"/>
      <c r="L99" s="20"/>
      <c r="M99" s="20"/>
      <c r="N99" s="20"/>
      <c r="O99" s="20"/>
      <c r="P99" s="20"/>
      <c r="Q99" s="20"/>
      <c r="R99" s="20"/>
      <c r="S99" s="20"/>
      <c r="T99" s="20"/>
      <c r="U99" s="20"/>
      <c r="V99" s="20"/>
      <c r="W99" s="20"/>
      <c r="X99" s="83"/>
      <c r="Y99" s="127"/>
      <c r="AD99" s="412"/>
      <c r="AE99" s="413"/>
      <c r="AF99" s="412"/>
      <c r="AG99" s="413"/>
      <c r="AH99" s="414"/>
    </row>
    <row r="100" spans="8:34" x14ac:dyDescent="0.25">
      <c r="H100" s="6"/>
      <c r="I100" s="20"/>
      <c r="J100" s="2" t="s">
        <v>120</v>
      </c>
      <c r="K100" s="20"/>
      <c r="L100" s="20"/>
      <c r="M100" s="20"/>
      <c r="N100" s="234">
        <f>N29</f>
        <v>3766749.9999999162</v>
      </c>
      <c r="O100" s="234">
        <f>IF(AND(N96&gt;0,-N104=N96),0,N107)</f>
        <v>3766749.9999999162</v>
      </c>
      <c r="P100" s="234">
        <f t="shared" ref="P100:X100" si="67">IF(AND(O96&gt;0,-O104=O96),0,O107)</f>
        <v>3971774.9304629634</v>
      </c>
      <c r="Q100" s="234">
        <f t="shared" si="67"/>
        <v>4233162.231190837</v>
      </c>
      <c r="R100" s="234">
        <f t="shared" si="67"/>
        <v>4562648.6744395299</v>
      </c>
      <c r="S100" s="234">
        <f t="shared" si="67"/>
        <v>4862652.8755350402</v>
      </c>
      <c r="T100" s="234">
        <f t="shared" si="67"/>
        <v>5136884.0102496818</v>
      </c>
      <c r="U100" s="234">
        <f t="shared" ca="1" si="67"/>
        <v>0</v>
      </c>
      <c r="V100" s="234">
        <f t="shared" ca="1" si="67"/>
        <v>0</v>
      </c>
      <c r="W100" s="234">
        <f t="shared" ca="1" si="67"/>
        <v>4.6566128730773926E-10</v>
      </c>
      <c r="X100" s="235">
        <f t="shared" ca="1" si="67"/>
        <v>5.3085386753082281E-10</v>
      </c>
      <c r="Y100" s="127"/>
      <c r="AD100" s="412"/>
      <c r="AE100" s="413"/>
      <c r="AF100" s="412"/>
      <c r="AG100" s="413"/>
      <c r="AH100" s="414"/>
    </row>
    <row r="101" spans="8:34" x14ac:dyDescent="0.25">
      <c r="H101" s="6"/>
      <c r="I101" s="20"/>
      <c r="J101" s="2" t="s">
        <v>119</v>
      </c>
      <c r="K101" s="20"/>
      <c r="L101" s="20"/>
      <c r="M101" s="20"/>
      <c r="N101" s="234"/>
      <c r="O101" s="234">
        <f t="shared" ref="O101:X101" si="68">O100*$D$42</f>
        <v>527344.99999998836</v>
      </c>
      <c r="P101" s="234">
        <f t="shared" si="68"/>
        <v>556048.49026481493</v>
      </c>
      <c r="Q101" s="234">
        <f t="shared" si="68"/>
        <v>592642.71236671729</v>
      </c>
      <c r="R101" s="234">
        <f t="shared" si="68"/>
        <v>638770.81442153419</v>
      </c>
      <c r="S101" s="234">
        <f t="shared" si="68"/>
        <v>680771.40257490566</v>
      </c>
      <c r="T101" s="234">
        <f t="shared" si="68"/>
        <v>719163.76143495552</v>
      </c>
      <c r="U101" s="234">
        <f t="shared" ca="1" si="68"/>
        <v>0</v>
      </c>
      <c r="V101" s="234">
        <f t="shared" ca="1" si="68"/>
        <v>0</v>
      </c>
      <c r="W101" s="234">
        <f t="shared" ca="1" si="68"/>
        <v>6.5192580223083502E-11</v>
      </c>
      <c r="X101" s="235">
        <f t="shared" ca="1" si="68"/>
        <v>7.4319541454315195E-11</v>
      </c>
      <c r="Y101" s="127"/>
      <c r="AD101" s="412"/>
      <c r="AE101" s="413"/>
      <c r="AF101" s="412"/>
      <c r="AG101" s="413"/>
      <c r="AH101" s="414"/>
    </row>
    <row r="102" spans="8:34" x14ac:dyDescent="0.25">
      <c r="H102" s="6"/>
      <c r="I102" s="20"/>
      <c r="J102" s="2" t="s">
        <v>151</v>
      </c>
      <c r="K102" s="20"/>
      <c r="L102" s="20"/>
      <c r="M102" s="20"/>
      <c r="N102" s="20"/>
      <c r="O102" s="234">
        <f t="shared" ref="O102:X102" si="69">O31</f>
        <v>-301339.99999999331</v>
      </c>
      <c r="P102" s="234">
        <f t="shared" si="69"/>
        <v>-294661.18953694159</v>
      </c>
      <c r="Q102" s="234">
        <f t="shared" si="69"/>
        <v>-263156.2691180238</v>
      </c>
      <c r="R102" s="234">
        <f t="shared" si="69"/>
        <v>-338766.61332602391</v>
      </c>
      <c r="S102" s="234">
        <f t="shared" si="69"/>
        <v>-306307.05554653914</v>
      </c>
      <c r="T102" s="234">
        <f t="shared" ca="1" si="69"/>
        <v>-291642.93745193945</v>
      </c>
      <c r="U102" s="234">
        <f t="shared" ca="1" si="69"/>
        <v>0</v>
      </c>
      <c r="V102" s="234">
        <f t="shared" ca="1" si="69"/>
        <v>0</v>
      </c>
      <c r="W102" s="234">
        <f t="shared" ca="1" si="69"/>
        <v>0</v>
      </c>
      <c r="X102" s="235">
        <f t="shared" ca="1" si="69"/>
        <v>0</v>
      </c>
      <c r="Y102" s="127"/>
      <c r="AD102" s="412"/>
      <c r="AE102" s="413"/>
      <c r="AF102" s="412"/>
      <c r="AG102" s="413"/>
      <c r="AH102" s="414"/>
    </row>
    <row r="103" spans="8:34" x14ac:dyDescent="0.25">
      <c r="H103" s="6"/>
      <c r="I103" s="20"/>
      <c r="J103" s="2" t="s">
        <v>176</v>
      </c>
      <c r="K103" s="20"/>
      <c r="L103" s="20"/>
      <c r="M103" s="20"/>
      <c r="N103" s="20"/>
      <c r="O103" s="234">
        <f>IF($D$32="no",0,-O72)</f>
        <v>0</v>
      </c>
      <c r="P103" s="234">
        <f t="shared" ref="P103:X103" si="70">IF($D$32="no",0,-P72)</f>
        <v>0</v>
      </c>
      <c r="Q103" s="234">
        <f t="shared" si="70"/>
        <v>0</v>
      </c>
      <c r="R103" s="234">
        <f t="shared" si="70"/>
        <v>0</v>
      </c>
      <c r="S103" s="234">
        <f t="shared" si="70"/>
        <v>0</v>
      </c>
      <c r="T103" s="234">
        <f t="shared" si="70"/>
        <v>0</v>
      </c>
      <c r="U103" s="234">
        <f t="shared" si="70"/>
        <v>0</v>
      </c>
      <c r="V103" s="234">
        <f t="shared" si="70"/>
        <v>0</v>
      </c>
      <c r="W103" s="234">
        <f t="shared" si="70"/>
        <v>0</v>
      </c>
      <c r="X103" s="235">
        <f t="shared" si="70"/>
        <v>0</v>
      </c>
      <c r="Y103" s="127"/>
      <c r="AD103" s="412"/>
      <c r="AE103" s="413"/>
      <c r="AF103" s="412"/>
      <c r="AG103" s="413"/>
      <c r="AH103" s="414"/>
    </row>
    <row r="104" spans="8:34" x14ac:dyDescent="0.25">
      <c r="H104" s="6"/>
      <c r="I104" s="20"/>
      <c r="J104" s="2" t="s">
        <v>152</v>
      </c>
      <c r="K104" s="20"/>
      <c r="L104" s="20"/>
      <c r="M104" s="20"/>
      <c r="N104" s="20"/>
      <c r="O104" s="234">
        <f>-MIN(O96,SUM($N$101:N104)+SUM(O101:O103))</f>
        <v>0</v>
      </c>
      <c r="P104" s="234">
        <f>-MIN(P96,SUM($N$101:O104)+SUM(P101:P103))</f>
        <v>0</v>
      </c>
      <c r="Q104" s="234">
        <f>-MIN(Q96,SUM($N$101:P104)+SUM(Q101:Q103))</f>
        <v>0</v>
      </c>
      <c r="R104" s="234">
        <f>-MIN(R96,SUM($N$101:Q104)+SUM(R101:R103))</f>
        <v>0</v>
      </c>
      <c r="S104" s="234">
        <f>-MIN(S96,SUM($N$101:R104)+SUM(S101:S103))</f>
        <v>0</v>
      </c>
      <c r="T104" s="234">
        <f ca="1">-MIN(T96,SUM($N$101:S104)+SUM(T101:T103))</f>
        <v>-1918868.1160834543</v>
      </c>
      <c r="U104" s="234">
        <f ca="1">-MIN(U96,SUM($N$101:T104)+SUM(U101:U103))</f>
        <v>0</v>
      </c>
      <c r="V104" s="234">
        <f ca="1">-MIN(V96,SUM($N$101:U104)+SUM(V101:V103))</f>
        <v>4.6566128730773926E-10</v>
      </c>
      <c r="W104" s="234">
        <f ca="1">-MIN(W96,SUM($N$101:V104)+SUM(W101:W103))</f>
        <v>0</v>
      </c>
      <c r="X104" s="235">
        <f ca="1">-MIN(X96,SUM($N$101:W104)+SUM(X101:X103))</f>
        <v>0</v>
      </c>
      <c r="Y104" s="127"/>
      <c r="AD104" s="412"/>
      <c r="AE104" s="413"/>
      <c r="AF104" s="412"/>
      <c r="AG104" s="413"/>
      <c r="AH104" s="414"/>
    </row>
    <row r="105" spans="8:34" x14ac:dyDescent="0.25">
      <c r="H105" s="6"/>
      <c r="I105" s="20"/>
      <c r="J105" s="2" t="s">
        <v>121</v>
      </c>
      <c r="K105" s="20"/>
      <c r="L105" s="20"/>
      <c r="M105" s="20"/>
      <c r="N105" s="20"/>
      <c r="O105" s="234">
        <f t="shared" ref="O105:X105" si="71">O32</f>
        <v>0</v>
      </c>
      <c r="P105" s="234">
        <f t="shared" si="71"/>
        <v>0</v>
      </c>
      <c r="Q105" s="234">
        <f t="shared" si="71"/>
        <v>0</v>
      </c>
      <c r="R105" s="234">
        <f t="shared" si="71"/>
        <v>0</v>
      </c>
      <c r="S105" s="234">
        <f t="shared" si="71"/>
        <v>0</v>
      </c>
      <c r="T105" s="234">
        <f t="shared" ca="1" si="71"/>
        <v>0</v>
      </c>
      <c r="U105" s="234">
        <f t="shared" si="71"/>
        <v>0</v>
      </c>
      <c r="V105" s="234">
        <f t="shared" si="71"/>
        <v>0</v>
      </c>
      <c r="W105" s="234">
        <f t="shared" si="71"/>
        <v>0</v>
      </c>
      <c r="X105" s="235">
        <f t="shared" si="71"/>
        <v>0</v>
      </c>
      <c r="Y105" s="127"/>
      <c r="AD105" s="412"/>
      <c r="AE105" s="413"/>
      <c r="AF105" s="412"/>
      <c r="AG105" s="413"/>
      <c r="AH105" s="414"/>
    </row>
    <row r="106" spans="8:34" x14ac:dyDescent="0.25">
      <c r="H106" s="6"/>
      <c r="I106" s="20"/>
      <c r="J106" s="4" t="s">
        <v>122</v>
      </c>
      <c r="K106" s="21"/>
      <c r="L106" s="21"/>
      <c r="M106" s="21"/>
      <c r="N106" s="21"/>
      <c r="O106" s="237">
        <f t="shared" ref="O106:X106" si="72">O33</f>
        <v>-20980.069536948286</v>
      </c>
      <c r="P106" s="237">
        <f t="shared" si="72"/>
        <v>0</v>
      </c>
      <c r="Q106" s="237">
        <f t="shared" si="72"/>
        <v>0</v>
      </c>
      <c r="R106" s="237">
        <f t="shared" si="72"/>
        <v>0</v>
      </c>
      <c r="S106" s="237">
        <f t="shared" si="72"/>
        <v>-100233.2123137248</v>
      </c>
      <c r="T106" s="237">
        <f t="shared" ca="1" si="72"/>
        <v>-3645536.7181492429</v>
      </c>
      <c r="U106" s="237">
        <f t="shared" ca="1" si="72"/>
        <v>0</v>
      </c>
      <c r="V106" s="237">
        <f t="shared" ca="1" si="72"/>
        <v>0</v>
      </c>
      <c r="W106" s="237">
        <f t="shared" ca="1" si="72"/>
        <v>0</v>
      </c>
      <c r="X106" s="238">
        <f t="shared" ca="1" si="72"/>
        <v>0</v>
      </c>
      <c r="Y106" s="127"/>
      <c r="AD106" s="412"/>
      <c r="AE106" s="413"/>
      <c r="AF106" s="412"/>
      <c r="AG106" s="413"/>
      <c r="AH106" s="414"/>
    </row>
    <row r="107" spans="8:34" x14ac:dyDescent="0.25">
      <c r="H107" s="6"/>
      <c r="I107" s="20"/>
      <c r="J107" s="312" t="s">
        <v>123</v>
      </c>
      <c r="K107" s="50"/>
      <c r="L107" s="50"/>
      <c r="M107" s="50"/>
      <c r="N107" s="302">
        <f>N100</f>
        <v>3766749.9999999162</v>
      </c>
      <c r="O107" s="302">
        <f>SUM(O100:O106)</f>
        <v>3971774.9304629634</v>
      </c>
      <c r="P107" s="302">
        <f t="shared" ref="P107:X107" si="73">SUM(P100:P106)</f>
        <v>4233162.231190837</v>
      </c>
      <c r="Q107" s="302">
        <f t="shared" si="73"/>
        <v>4562648.6744395299</v>
      </c>
      <c r="R107" s="302">
        <f t="shared" si="73"/>
        <v>4862652.8755350402</v>
      </c>
      <c r="S107" s="302">
        <f t="shared" si="73"/>
        <v>5136884.0102496818</v>
      </c>
      <c r="T107" s="302">
        <f t="shared" ca="1" si="73"/>
        <v>0</v>
      </c>
      <c r="U107" s="302">
        <f ca="1">SUM(U100:U106)</f>
        <v>0</v>
      </c>
      <c r="V107" s="302">
        <f t="shared" ca="1" si="73"/>
        <v>4.6566128730773926E-10</v>
      </c>
      <c r="W107" s="302">
        <f t="shared" ca="1" si="73"/>
        <v>5.3085386753082281E-10</v>
      </c>
      <c r="X107" s="324">
        <f t="shared" ca="1" si="73"/>
        <v>6.0517340898513798E-10</v>
      </c>
      <c r="Y107" s="127"/>
      <c r="AD107" s="412"/>
      <c r="AE107" s="413"/>
      <c r="AF107" s="412"/>
      <c r="AG107" s="413"/>
      <c r="AH107" s="414"/>
    </row>
    <row r="108" spans="8:34" x14ac:dyDescent="0.25">
      <c r="H108" s="6"/>
      <c r="I108" s="20"/>
      <c r="J108" s="2"/>
      <c r="K108" s="20"/>
      <c r="L108" s="20"/>
      <c r="M108" s="20"/>
      <c r="N108" s="20"/>
      <c r="O108" s="20"/>
      <c r="P108" s="20"/>
      <c r="Q108" s="20"/>
      <c r="R108" s="20"/>
      <c r="S108" s="20"/>
      <c r="T108" s="20"/>
      <c r="U108" s="20"/>
      <c r="V108" s="20"/>
      <c r="W108" s="20"/>
      <c r="X108" s="83"/>
      <c r="Y108" s="393"/>
      <c r="Z108" s="407"/>
      <c r="AA108" s="407"/>
      <c r="AD108" s="412"/>
      <c r="AE108" s="413"/>
      <c r="AF108" s="412"/>
      <c r="AG108" s="413"/>
      <c r="AH108" s="414"/>
    </row>
    <row r="109" spans="8:34" x14ac:dyDescent="0.25">
      <c r="H109" s="6"/>
      <c r="I109" s="20"/>
      <c r="J109" s="67" t="s">
        <v>155</v>
      </c>
      <c r="K109" s="326">
        <f ca="1">IRR(N109:X109)</f>
        <v>0.13999999999999613</v>
      </c>
      <c r="L109" s="69"/>
      <c r="M109" s="69"/>
      <c r="N109" s="231">
        <f>-N107</f>
        <v>-3766749.9999999162</v>
      </c>
      <c r="O109" s="231">
        <f>-SUM(O102:O106)</f>
        <v>322320.06953694159</v>
      </c>
      <c r="P109" s="231">
        <f t="shared" ref="P109:X109" si="74">-SUM(P102:P106)</f>
        <v>294661.18953694159</v>
      </c>
      <c r="Q109" s="231">
        <f t="shared" si="74"/>
        <v>263156.2691180238</v>
      </c>
      <c r="R109" s="231">
        <f t="shared" si="74"/>
        <v>338766.61332602391</v>
      </c>
      <c r="S109" s="231">
        <f>-SUM(S102:S106)</f>
        <v>406540.26786026394</v>
      </c>
      <c r="T109" s="231">
        <f ca="1">-SUM(T102:T106)</f>
        <v>5856047.7716846373</v>
      </c>
      <c r="U109" s="231">
        <f ca="1">-SUM(U102:U106)</f>
        <v>0</v>
      </c>
      <c r="V109" s="231">
        <f t="shared" ca="1" si="74"/>
        <v>-4.6566128730773926E-10</v>
      </c>
      <c r="W109" s="231">
        <f t="shared" ca="1" si="74"/>
        <v>0</v>
      </c>
      <c r="X109" s="232">
        <f t="shared" ca="1" si="74"/>
        <v>0</v>
      </c>
      <c r="Y109" s="127"/>
      <c r="AD109" s="412"/>
      <c r="AE109" s="413"/>
      <c r="AF109" s="412"/>
      <c r="AG109" s="413"/>
      <c r="AH109" s="414"/>
    </row>
    <row r="110" spans="8:34" x14ac:dyDescent="0.25">
      <c r="H110" s="6"/>
      <c r="I110" s="20"/>
      <c r="J110" s="3" t="s">
        <v>156</v>
      </c>
      <c r="K110" s="137">
        <f ca="1">IRR(N110:X110)</f>
        <v>0.13999999999999635</v>
      </c>
      <c r="L110" s="20"/>
      <c r="M110" s="20"/>
      <c r="N110" s="234">
        <f t="shared" ref="N110:X110" si="75">N$109*$D46/$D$45</f>
        <v>-3171999.9999999297</v>
      </c>
      <c r="O110" s="234">
        <f t="shared" si="75"/>
        <v>271427.42697847716</v>
      </c>
      <c r="P110" s="234">
        <f t="shared" si="75"/>
        <v>248135.73855742451</v>
      </c>
      <c r="Q110" s="234">
        <f t="shared" si="75"/>
        <v>221605.2792572832</v>
      </c>
      <c r="R110" s="234">
        <f t="shared" si="75"/>
        <v>285277.14806402015</v>
      </c>
      <c r="S110" s="234">
        <f t="shared" si="75"/>
        <v>342349.69925074856</v>
      </c>
      <c r="T110" s="234">
        <f t="shared" ca="1" si="75"/>
        <v>4931408.6498396946</v>
      </c>
      <c r="U110" s="234">
        <f t="shared" ca="1" si="75"/>
        <v>0</v>
      </c>
      <c r="V110" s="234">
        <f t="shared" ca="1" si="75"/>
        <v>-3.9213582089072783E-10</v>
      </c>
      <c r="W110" s="234">
        <f t="shared" ca="1" si="75"/>
        <v>0</v>
      </c>
      <c r="X110" s="235">
        <f t="shared" ca="1" si="75"/>
        <v>0</v>
      </c>
      <c r="Y110" s="127"/>
      <c r="AD110" s="412"/>
      <c r="AE110" s="413"/>
      <c r="AF110" s="412"/>
      <c r="AG110" s="413"/>
      <c r="AH110" s="414"/>
    </row>
    <row r="111" spans="8:34" x14ac:dyDescent="0.25">
      <c r="H111" s="6"/>
      <c r="I111" s="20"/>
      <c r="J111" s="132" t="s">
        <v>157</v>
      </c>
      <c r="K111" s="325">
        <f ca="1">IFERROR(IRR(N111:X111),"")</f>
        <v>0.13999999999999635</v>
      </c>
      <c r="L111" s="21"/>
      <c r="M111" s="21"/>
      <c r="N111" s="237">
        <f t="shared" ref="N111:X111" si="76">N$109*$D47/$D$45</f>
        <v>-594749.99999998673</v>
      </c>
      <c r="O111" s="237">
        <f t="shared" si="76"/>
        <v>50892.64255846446</v>
      </c>
      <c r="P111" s="237">
        <f t="shared" si="76"/>
        <v>46525.450979517089</v>
      </c>
      <c r="Q111" s="237">
        <f t="shared" si="76"/>
        <v>41550.989860740592</v>
      </c>
      <c r="R111" s="237">
        <f t="shared" si="76"/>
        <v>53489.465262003774</v>
      </c>
      <c r="S111" s="237">
        <f t="shared" si="76"/>
        <v>64190.568609515358</v>
      </c>
      <c r="T111" s="237">
        <f t="shared" ca="1" si="76"/>
        <v>924639.12184494268</v>
      </c>
      <c r="U111" s="237">
        <f t="shared" ca="1" si="76"/>
        <v>0</v>
      </c>
      <c r="V111" s="237">
        <f t="shared" ca="1" si="76"/>
        <v>-7.3525466417011458E-11</v>
      </c>
      <c r="W111" s="237">
        <f t="shared" ca="1" si="76"/>
        <v>0</v>
      </c>
      <c r="X111" s="238">
        <f t="shared" ca="1" si="76"/>
        <v>0</v>
      </c>
      <c r="Y111" s="127"/>
      <c r="AD111" s="412"/>
      <c r="AE111" s="413"/>
      <c r="AF111" s="412"/>
      <c r="AG111" s="413"/>
      <c r="AH111" s="414"/>
    </row>
    <row r="112" spans="8:34" x14ac:dyDescent="0.25">
      <c r="H112" s="6"/>
      <c r="I112" s="20"/>
      <c r="J112" s="2"/>
      <c r="K112" s="20"/>
      <c r="L112" s="20"/>
      <c r="M112" s="20"/>
      <c r="N112" s="20"/>
      <c r="O112" s="20"/>
      <c r="P112" s="20"/>
      <c r="Q112" s="20"/>
      <c r="R112" s="20"/>
      <c r="S112" s="20"/>
      <c r="T112" s="20"/>
      <c r="U112" s="20"/>
      <c r="V112" s="20"/>
      <c r="W112" s="20"/>
      <c r="X112" s="83"/>
      <c r="Y112" s="127"/>
      <c r="AD112" s="412"/>
      <c r="AE112" s="413"/>
      <c r="AF112" s="412"/>
      <c r="AG112" s="413"/>
      <c r="AH112" s="414"/>
    </row>
    <row r="113" spans="8:34" x14ac:dyDescent="0.25">
      <c r="H113" s="6"/>
      <c r="I113" s="20"/>
      <c r="J113" s="67" t="s">
        <v>185</v>
      </c>
      <c r="K113" s="20"/>
      <c r="L113" s="20"/>
      <c r="M113" s="20"/>
      <c r="N113" s="20"/>
      <c r="O113" s="20"/>
      <c r="P113" s="20"/>
      <c r="Q113" s="20"/>
      <c r="R113" s="20"/>
      <c r="S113" s="20"/>
      <c r="T113" s="20"/>
      <c r="U113" s="20"/>
      <c r="V113" s="20"/>
      <c r="W113" s="20"/>
      <c r="X113" s="83"/>
      <c r="Y113" s="127"/>
      <c r="AD113" s="412"/>
      <c r="AE113" s="413"/>
      <c r="AF113" s="412"/>
      <c r="AG113" s="413"/>
      <c r="AH113" s="414"/>
    </row>
    <row r="114" spans="8:34" x14ac:dyDescent="0.25">
      <c r="H114" s="6"/>
      <c r="I114" s="20"/>
      <c r="J114" s="2" t="s">
        <v>120</v>
      </c>
      <c r="K114" s="20"/>
      <c r="L114" s="20"/>
      <c r="M114" s="20"/>
      <c r="N114" s="234">
        <f>N41</f>
        <v>198249.99999999543</v>
      </c>
      <c r="O114" s="234">
        <f>N121</f>
        <v>198249.99999999543</v>
      </c>
      <c r="P114" s="234">
        <f t="shared" ref="P114:X114" si="77">O121</f>
        <v>226004.99999999479</v>
      </c>
      <c r="Q114" s="234">
        <f t="shared" si="77"/>
        <v>257645.69999999407</v>
      </c>
      <c r="R114" s="234">
        <f t="shared" si="77"/>
        <v>293716.09799999325</v>
      </c>
      <c r="S114" s="234">
        <f t="shared" si="77"/>
        <v>334836.35171999229</v>
      </c>
      <c r="T114" s="234">
        <f t="shared" si="77"/>
        <v>381713.44096079119</v>
      </c>
      <c r="U114" s="234">
        <f t="shared" ca="1" si="77"/>
        <v>-141108.34583971894</v>
      </c>
      <c r="V114" s="234">
        <f t="shared" ca="1" si="77"/>
        <v>-160863.5142572796</v>
      </c>
      <c r="W114" s="234">
        <f t="shared" ca="1" si="77"/>
        <v>-183384.40625329869</v>
      </c>
      <c r="X114" s="235">
        <f t="shared" ca="1" si="77"/>
        <v>-209058.2231287605</v>
      </c>
      <c r="Y114" s="127"/>
      <c r="AD114" s="412"/>
      <c r="AE114" s="413"/>
      <c r="AF114" s="412"/>
      <c r="AG114" s="413"/>
      <c r="AH114" s="414"/>
    </row>
    <row r="115" spans="8:34" x14ac:dyDescent="0.25">
      <c r="H115" s="6"/>
      <c r="I115" s="20"/>
      <c r="J115" s="2" t="s">
        <v>119</v>
      </c>
      <c r="K115" s="20"/>
      <c r="L115" s="20"/>
      <c r="M115" s="20"/>
      <c r="N115" s="234"/>
      <c r="O115" s="234">
        <f t="shared" ref="O115:X115" si="78">O114*$D$42</f>
        <v>27754.999999999363</v>
      </c>
      <c r="P115" s="234">
        <f t="shared" si="78"/>
        <v>31640.699999999273</v>
      </c>
      <c r="Q115" s="234">
        <f t="shared" si="78"/>
        <v>36070.397999999172</v>
      </c>
      <c r="R115" s="234">
        <f t="shared" si="78"/>
        <v>41120.253719999055</v>
      </c>
      <c r="S115" s="234">
        <f t="shared" si="78"/>
        <v>46877.089240798923</v>
      </c>
      <c r="T115" s="234">
        <f t="shared" si="78"/>
        <v>53439.881734510775</v>
      </c>
      <c r="U115" s="234">
        <f t="shared" ca="1" si="78"/>
        <v>-19755.168417560653</v>
      </c>
      <c r="V115" s="234">
        <f t="shared" ca="1" si="78"/>
        <v>-22520.891996019145</v>
      </c>
      <c r="W115" s="234">
        <f t="shared" ca="1" si="78"/>
        <v>-25673.81687546182</v>
      </c>
      <c r="X115" s="235">
        <f t="shared" ca="1" si="78"/>
        <v>-29268.151238026472</v>
      </c>
      <c r="Y115" s="127"/>
      <c r="AD115" s="412"/>
      <c r="AE115" s="413"/>
      <c r="AF115" s="412"/>
      <c r="AG115" s="413"/>
      <c r="AH115" s="414"/>
    </row>
    <row r="116" spans="8:34" x14ac:dyDescent="0.25">
      <c r="H116" s="6"/>
      <c r="I116" s="20"/>
      <c r="J116" s="2" t="s">
        <v>151</v>
      </c>
      <c r="K116" s="20"/>
      <c r="L116" s="20"/>
      <c r="M116" s="20"/>
      <c r="N116" s="234"/>
      <c r="O116" s="234">
        <f t="shared" ref="O116:X116" si="79">O43</f>
        <v>0</v>
      </c>
      <c r="P116" s="234">
        <f t="shared" si="79"/>
        <v>0</v>
      </c>
      <c r="Q116" s="234">
        <f t="shared" si="79"/>
        <v>0</v>
      </c>
      <c r="R116" s="234">
        <f t="shared" si="79"/>
        <v>0</v>
      </c>
      <c r="S116" s="234">
        <f t="shared" si="79"/>
        <v>0</v>
      </c>
      <c r="T116" s="234">
        <f t="shared" ca="1" si="79"/>
        <v>-116347.83452364532</v>
      </c>
      <c r="U116" s="234">
        <f t="shared" ca="1" si="79"/>
        <v>0</v>
      </c>
      <c r="V116" s="234">
        <f t="shared" ca="1" si="79"/>
        <v>0</v>
      </c>
      <c r="W116" s="234">
        <f t="shared" ca="1" si="79"/>
        <v>0</v>
      </c>
      <c r="X116" s="235">
        <f t="shared" ca="1" si="79"/>
        <v>0</v>
      </c>
      <c r="Y116" s="127"/>
      <c r="AD116" s="412"/>
      <c r="AE116" s="413"/>
      <c r="AF116" s="412"/>
      <c r="AG116" s="413"/>
      <c r="AH116" s="414"/>
    </row>
    <row r="117" spans="8:34" x14ac:dyDescent="0.25">
      <c r="H117" s="6"/>
      <c r="I117" s="20"/>
      <c r="J117" s="2" t="s">
        <v>176</v>
      </c>
      <c r="K117" s="20"/>
      <c r="L117" s="20"/>
      <c r="M117" s="20"/>
      <c r="N117" s="234"/>
      <c r="O117" s="234">
        <f>IF($D$32="no",0,-O73)</f>
        <v>0</v>
      </c>
      <c r="P117" s="234">
        <f t="shared" ref="P117:X117" si="80">IF($D$32="no",0,-P73)</f>
        <v>0</v>
      </c>
      <c r="Q117" s="234">
        <f t="shared" si="80"/>
        <v>0</v>
      </c>
      <c r="R117" s="234">
        <f t="shared" si="80"/>
        <v>0</v>
      </c>
      <c r="S117" s="234">
        <f t="shared" si="80"/>
        <v>0</v>
      </c>
      <c r="T117" s="234">
        <f t="shared" si="80"/>
        <v>0</v>
      </c>
      <c r="U117" s="234">
        <f t="shared" si="80"/>
        <v>0</v>
      </c>
      <c r="V117" s="234">
        <f t="shared" si="80"/>
        <v>0</v>
      </c>
      <c r="W117" s="234">
        <f t="shared" si="80"/>
        <v>0</v>
      </c>
      <c r="X117" s="235">
        <f t="shared" si="80"/>
        <v>0</v>
      </c>
      <c r="Y117" s="127"/>
      <c r="AD117" s="412"/>
      <c r="AE117" s="413"/>
      <c r="AF117" s="412"/>
      <c r="AG117" s="413"/>
      <c r="AH117" s="414"/>
    </row>
    <row r="118" spans="8:34" x14ac:dyDescent="0.25">
      <c r="H118" s="6"/>
      <c r="I118" s="20"/>
      <c r="J118" s="2" t="s">
        <v>173</v>
      </c>
      <c r="K118" s="20"/>
      <c r="L118" s="20"/>
      <c r="M118" s="20"/>
      <c r="N118" s="234"/>
      <c r="O118" s="234">
        <f>-MIN(O97,-O104/$D$45*$D$44)</f>
        <v>0</v>
      </c>
      <c r="P118" s="234">
        <f t="shared" ref="P118:W118" si="81">-MIN(P97,-P104/$D$45*$D$44)</f>
        <v>0</v>
      </c>
      <c r="Q118" s="234">
        <f t="shared" si="81"/>
        <v>0</v>
      </c>
      <c r="R118" s="234">
        <f t="shared" si="81"/>
        <v>0</v>
      </c>
      <c r="S118" s="234">
        <f t="shared" si="81"/>
        <v>0</v>
      </c>
      <c r="T118" s="234">
        <f t="shared" ca="1" si="81"/>
        <v>-261663.83401138012</v>
      </c>
      <c r="U118" s="234">
        <f t="shared" ca="1" si="81"/>
        <v>0</v>
      </c>
      <c r="V118" s="234">
        <f t="shared" ca="1" si="81"/>
        <v>6.3499266451055362E-11</v>
      </c>
      <c r="W118" s="234">
        <f t="shared" ca="1" si="81"/>
        <v>0</v>
      </c>
      <c r="X118" s="235">
        <f ca="1">-MIN(X97,-X104/$D$45*$D$44)</f>
        <v>0</v>
      </c>
      <c r="Y118" s="127"/>
      <c r="AB118" s="416"/>
      <c r="AC118" s="416"/>
      <c r="AD118" s="412"/>
      <c r="AE118" s="413"/>
      <c r="AF118" s="412"/>
      <c r="AG118" s="413"/>
      <c r="AH118" s="414"/>
    </row>
    <row r="119" spans="8:34" x14ac:dyDescent="0.25">
      <c r="H119" s="6"/>
      <c r="I119" s="20"/>
      <c r="J119" s="2" t="s">
        <v>121</v>
      </c>
      <c r="K119" s="20"/>
      <c r="L119" s="20"/>
      <c r="M119" s="20"/>
      <c r="N119" s="20"/>
      <c r="O119" s="234">
        <f t="shared" ref="O119:X119" si="82">O44</f>
        <v>0</v>
      </c>
      <c r="P119" s="234">
        <f t="shared" si="82"/>
        <v>0</v>
      </c>
      <c r="Q119" s="234">
        <f t="shared" si="82"/>
        <v>0</v>
      </c>
      <c r="R119" s="234">
        <f t="shared" si="82"/>
        <v>0</v>
      </c>
      <c r="S119" s="234">
        <f t="shared" si="82"/>
        <v>0</v>
      </c>
      <c r="T119" s="234">
        <f t="shared" ca="1" si="82"/>
        <v>0</v>
      </c>
      <c r="U119" s="234">
        <f t="shared" si="82"/>
        <v>0</v>
      </c>
      <c r="V119" s="234">
        <f t="shared" si="82"/>
        <v>0</v>
      </c>
      <c r="W119" s="234">
        <f t="shared" si="82"/>
        <v>0</v>
      </c>
      <c r="X119" s="235">
        <f t="shared" si="82"/>
        <v>0</v>
      </c>
      <c r="Y119" s="127"/>
      <c r="AB119" s="416"/>
      <c r="AD119" s="412"/>
      <c r="AE119" s="413"/>
      <c r="AF119" s="412"/>
      <c r="AG119" s="413"/>
      <c r="AH119" s="414"/>
    </row>
    <row r="120" spans="8:34" x14ac:dyDescent="0.25">
      <c r="H120" s="6"/>
      <c r="I120" s="20"/>
      <c r="J120" s="4" t="s">
        <v>122</v>
      </c>
      <c r="K120" s="21"/>
      <c r="L120" s="21"/>
      <c r="M120" s="21"/>
      <c r="N120" s="21"/>
      <c r="O120" s="237">
        <f t="shared" ref="O120:X120" si="83">O45</f>
        <v>0</v>
      </c>
      <c r="P120" s="237">
        <f t="shared" si="83"/>
        <v>0</v>
      </c>
      <c r="Q120" s="237">
        <f t="shared" si="83"/>
        <v>0</v>
      </c>
      <c r="R120" s="237">
        <f t="shared" si="83"/>
        <v>0</v>
      </c>
      <c r="S120" s="237">
        <f t="shared" si="83"/>
        <v>0</v>
      </c>
      <c r="T120" s="237">
        <f t="shared" ca="1" si="83"/>
        <v>-198249.99999999543</v>
      </c>
      <c r="U120" s="237">
        <f t="shared" ca="1" si="83"/>
        <v>0</v>
      </c>
      <c r="V120" s="237">
        <f t="shared" ca="1" si="83"/>
        <v>0</v>
      </c>
      <c r="W120" s="237">
        <f t="shared" ca="1" si="83"/>
        <v>0</v>
      </c>
      <c r="X120" s="238">
        <f t="shared" ca="1" si="83"/>
        <v>0</v>
      </c>
      <c r="Y120" s="127"/>
      <c r="AC120" s="414"/>
      <c r="AD120" s="412"/>
      <c r="AE120" s="413"/>
      <c r="AF120" s="412"/>
      <c r="AG120" s="413"/>
      <c r="AH120" s="414"/>
    </row>
    <row r="121" spans="8:34" x14ac:dyDescent="0.25">
      <c r="H121" s="6"/>
      <c r="I121" s="20"/>
      <c r="J121" s="312" t="s">
        <v>123</v>
      </c>
      <c r="K121" s="50"/>
      <c r="L121" s="50"/>
      <c r="M121" s="50"/>
      <c r="N121" s="302">
        <f>N114</f>
        <v>198249.99999999543</v>
      </c>
      <c r="O121" s="302">
        <f>SUM(O114:O120)</f>
        <v>226004.99999999479</v>
      </c>
      <c r="P121" s="302">
        <f t="shared" ref="P121:X121" si="84">SUM(P114:P120)</f>
        <v>257645.69999999407</v>
      </c>
      <c r="Q121" s="302">
        <f t="shared" si="84"/>
        <v>293716.09799999325</v>
      </c>
      <c r="R121" s="302">
        <f t="shared" si="84"/>
        <v>334836.35171999229</v>
      </c>
      <c r="S121" s="302">
        <f t="shared" si="84"/>
        <v>381713.44096079119</v>
      </c>
      <c r="T121" s="302">
        <f t="shared" ca="1" si="84"/>
        <v>-141108.34583971894</v>
      </c>
      <c r="U121" s="302">
        <f t="shared" ca="1" si="84"/>
        <v>-160863.5142572796</v>
      </c>
      <c r="V121" s="302">
        <f t="shared" ca="1" si="84"/>
        <v>-183384.40625329869</v>
      </c>
      <c r="W121" s="302">
        <f t="shared" ca="1" si="84"/>
        <v>-209058.2231287605</v>
      </c>
      <c r="X121" s="324">
        <f t="shared" ca="1" si="84"/>
        <v>-238326.37436678697</v>
      </c>
      <c r="Y121" s="393"/>
      <c r="Z121" s="407"/>
      <c r="AA121" s="407"/>
      <c r="AD121" s="412"/>
      <c r="AE121" s="413"/>
      <c r="AF121" s="412"/>
      <c r="AG121" s="413"/>
      <c r="AH121" s="414"/>
    </row>
    <row r="122" spans="8:34" x14ac:dyDescent="0.25">
      <c r="H122" s="6"/>
      <c r="I122" s="20"/>
      <c r="J122" s="2"/>
      <c r="K122" s="20"/>
      <c r="L122" s="20"/>
      <c r="M122" s="20"/>
      <c r="N122" s="20"/>
      <c r="O122" s="20"/>
      <c r="P122" s="20"/>
      <c r="Q122" s="20"/>
      <c r="R122" s="20"/>
      <c r="S122" s="20"/>
      <c r="T122" s="20"/>
      <c r="U122" s="20"/>
      <c r="V122" s="20"/>
      <c r="W122" s="20"/>
      <c r="X122" s="83"/>
      <c r="Y122" s="127"/>
      <c r="AD122" s="412"/>
      <c r="AE122" s="413"/>
      <c r="AF122" s="412"/>
      <c r="AG122" s="413"/>
      <c r="AH122" s="414"/>
    </row>
    <row r="123" spans="8:34" x14ac:dyDescent="0.25">
      <c r="H123" s="6"/>
      <c r="I123" s="20"/>
      <c r="J123" s="67" t="s">
        <v>186</v>
      </c>
      <c r="K123" s="23">
        <f ca="1">IRR(N123:X123)</f>
        <v>0.19463276728791268</v>
      </c>
      <c r="L123" s="69"/>
      <c r="M123" s="69"/>
      <c r="N123" s="231">
        <f>-N121</f>
        <v>-198249.99999999543</v>
      </c>
      <c r="O123" s="329">
        <f t="shared" ref="O123:T123" si="85">-SUM(O116:O120)+IF(O104=-O96,O97+O118,0)</f>
        <v>0</v>
      </c>
      <c r="P123" s="329">
        <f t="shared" si="85"/>
        <v>0</v>
      </c>
      <c r="Q123" s="329">
        <f t="shared" si="85"/>
        <v>0</v>
      </c>
      <c r="R123" s="329">
        <f t="shared" si="85"/>
        <v>0</v>
      </c>
      <c r="S123" s="329">
        <f t="shared" si="85"/>
        <v>0</v>
      </c>
      <c r="T123" s="329">
        <f t="shared" ca="1" si="85"/>
        <v>576261.6685350209</v>
      </c>
      <c r="U123" s="329">
        <f ca="1">-SUM(U116:U120)+IF(U104=-U96,U97+U118,0)</f>
        <v>0</v>
      </c>
      <c r="V123" s="329">
        <f t="shared" ref="V123:X123" ca="1" si="86">-SUM(V116:V120)+IF(V104=-V96,V97+V118,0)</f>
        <v>-6.3499266451055362E-11</v>
      </c>
      <c r="W123" s="329">
        <f t="shared" ca="1" si="86"/>
        <v>0</v>
      </c>
      <c r="X123" s="330">
        <f t="shared" ca="1" si="86"/>
        <v>0</v>
      </c>
      <c r="Y123" s="127"/>
      <c r="AD123" s="412"/>
      <c r="AE123" s="413"/>
      <c r="AF123" s="412"/>
      <c r="AG123" s="413"/>
      <c r="AH123" s="414"/>
    </row>
    <row r="124" spans="8:34" x14ac:dyDescent="0.25">
      <c r="H124" s="6"/>
      <c r="I124" s="20"/>
      <c r="J124" s="2"/>
      <c r="K124" s="20"/>
      <c r="L124" s="20"/>
      <c r="M124" s="20"/>
      <c r="N124" s="20"/>
      <c r="O124" s="20"/>
      <c r="P124" s="20"/>
      <c r="Q124" s="20"/>
      <c r="R124" s="20"/>
      <c r="S124" s="20"/>
      <c r="T124" s="20"/>
      <c r="U124" s="20"/>
      <c r="V124" s="20"/>
      <c r="W124" s="20"/>
      <c r="X124" s="83"/>
      <c r="Y124" s="127"/>
      <c r="AD124" s="412"/>
      <c r="AE124" s="413"/>
      <c r="AF124" s="412"/>
      <c r="AG124" s="413"/>
      <c r="AH124" s="414"/>
    </row>
    <row r="125" spans="8:34" x14ac:dyDescent="0.25">
      <c r="H125" s="6"/>
      <c r="I125" s="20"/>
      <c r="J125" s="114"/>
      <c r="K125" s="338" t="s">
        <v>54</v>
      </c>
      <c r="L125" s="338" t="s">
        <v>55</v>
      </c>
      <c r="M125" s="338" t="s">
        <v>114</v>
      </c>
      <c r="N125" s="218"/>
      <c r="O125" s="218"/>
      <c r="P125" s="218"/>
      <c r="Q125" s="218"/>
      <c r="R125" s="218"/>
      <c r="S125" s="218"/>
      <c r="T125" s="218"/>
      <c r="U125" s="218"/>
      <c r="V125" s="218"/>
      <c r="W125" s="218"/>
      <c r="X125" s="261"/>
      <c r="Y125" s="127"/>
      <c r="AD125" s="412"/>
      <c r="AE125" s="413"/>
      <c r="AF125" s="412"/>
      <c r="AG125" s="413"/>
      <c r="AH125" s="414"/>
    </row>
    <row r="126" spans="8:34" x14ac:dyDescent="0.25">
      <c r="H126" s="6"/>
      <c r="I126" s="20"/>
      <c r="J126" s="308" t="s">
        <v>166</v>
      </c>
      <c r="K126" s="303">
        <f ca="1">IRR(N126:X126)</f>
        <v>0.14357567278573846</v>
      </c>
      <c r="L126" s="304">
        <f ca="1">SUMIF(N126:X126,"&gt;0")/-SUMIF(N126:X126,"&lt;0")</f>
        <v>2.0322203908191758</v>
      </c>
      <c r="M126" s="305">
        <f ca="1">SUM(M127:M129)</f>
        <v>4092753.8495979402</v>
      </c>
      <c r="N126" s="306">
        <f>SUM(N123,N109)</f>
        <v>-3964999.9999999115</v>
      </c>
      <c r="O126" s="307">
        <f t="shared" ref="O126:X126" si="87">SUM(O123,O109)</f>
        <v>322320.06953694159</v>
      </c>
      <c r="P126" s="307">
        <f t="shared" si="87"/>
        <v>294661.18953694159</v>
      </c>
      <c r="Q126" s="307">
        <f t="shared" si="87"/>
        <v>263156.2691180238</v>
      </c>
      <c r="R126" s="307">
        <f t="shared" si="87"/>
        <v>338766.61332602391</v>
      </c>
      <c r="S126" s="307">
        <f t="shared" si="87"/>
        <v>406540.26786026394</v>
      </c>
      <c r="T126" s="307">
        <f t="shared" ca="1" si="87"/>
        <v>6432309.4402196584</v>
      </c>
      <c r="U126" s="307">
        <f ca="1">SUM(U123,U109)</f>
        <v>0</v>
      </c>
      <c r="V126" s="307">
        <f t="shared" ca="1" si="87"/>
        <v>-5.2916055375879466E-10</v>
      </c>
      <c r="W126" s="307">
        <f t="shared" ca="1" si="87"/>
        <v>0</v>
      </c>
      <c r="X126" s="305">
        <f t="shared" ca="1" si="87"/>
        <v>0</v>
      </c>
      <c r="Y126" s="127"/>
      <c r="AD126" s="412"/>
      <c r="AE126" s="413"/>
      <c r="AF126" s="412"/>
      <c r="AG126" s="413"/>
      <c r="AH126" s="414"/>
    </row>
    <row r="127" spans="8:34" x14ac:dyDescent="0.25">
      <c r="H127" s="6"/>
      <c r="I127" s="20"/>
      <c r="J127" s="285" t="s">
        <v>125</v>
      </c>
      <c r="K127" s="293">
        <f ca="1">IRR(N127:X127)</f>
        <v>0.13999999999999635</v>
      </c>
      <c r="L127" s="289">
        <f ca="1">SUMIF(N127:X127,"&gt;0")/-SUMIF(N127:X127,"&lt;0")</f>
        <v>1.9861929199078774</v>
      </c>
      <c r="M127" s="290">
        <f ca="1">SUM(N127:X127)</f>
        <v>3128203.9419477177</v>
      </c>
      <c r="N127" s="287">
        <f>N110</f>
        <v>-3171999.9999999297</v>
      </c>
      <c r="O127" s="254">
        <f t="shared" ref="O127:X127" si="88">O110</f>
        <v>271427.42697847716</v>
      </c>
      <c r="P127" s="254">
        <f t="shared" si="88"/>
        <v>248135.73855742451</v>
      </c>
      <c r="Q127" s="254">
        <f t="shared" si="88"/>
        <v>221605.2792572832</v>
      </c>
      <c r="R127" s="254">
        <f t="shared" si="88"/>
        <v>285277.14806402015</v>
      </c>
      <c r="S127" s="254">
        <f t="shared" si="88"/>
        <v>342349.69925074856</v>
      </c>
      <c r="T127" s="254">
        <f t="shared" ca="1" si="88"/>
        <v>4931408.6498396946</v>
      </c>
      <c r="U127" s="254">
        <f t="shared" ca="1" si="88"/>
        <v>0</v>
      </c>
      <c r="V127" s="254">
        <f t="shared" ca="1" si="88"/>
        <v>-3.9213582089072783E-10</v>
      </c>
      <c r="W127" s="254">
        <f t="shared" ca="1" si="88"/>
        <v>0</v>
      </c>
      <c r="X127" s="255">
        <f t="shared" ca="1" si="88"/>
        <v>0</v>
      </c>
      <c r="Y127" s="127"/>
      <c r="AD127" s="412"/>
      <c r="AE127" s="413"/>
      <c r="AF127" s="412"/>
      <c r="AG127" s="413"/>
      <c r="AH127" s="414"/>
    </row>
    <row r="128" spans="8:34" x14ac:dyDescent="0.25">
      <c r="H128" s="6"/>
      <c r="I128" s="20"/>
      <c r="J128" s="285" t="s">
        <v>126</v>
      </c>
      <c r="K128" s="293">
        <f ca="1">IFERROR(IRR(N128:X128),"")</f>
        <v>0.13999999999999635</v>
      </c>
      <c r="L128" s="289">
        <f ca="1">IFERROR(SUMIF(N128:X128,"&gt;0")/-SUMIF(N128:X128,"&lt;0"),"")</f>
        <v>1.9861929199078774</v>
      </c>
      <c r="M128" s="290">
        <f ca="1">SUM(N128:X128)</f>
        <v>586538.2391151971</v>
      </c>
      <c r="N128" s="287">
        <f>N111</f>
        <v>-594749.99999998673</v>
      </c>
      <c r="O128" s="254">
        <f t="shared" ref="O128:X128" si="89">O111</f>
        <v>50892.64255846446</v>
      </c>
      <c r="P128" s="254">
        <f t="shared" si="89"/>
        <v>46525.450979517089</v>
      </c>
      <c r="Q128" s="254">
        <f t="shared" si="89"/>
        <v>41550.989860740592</v>
      </c>
      <c r="R128" s="254">
        <f t="shared" si="89"/>
        <v>53489.465262003774</v>
      </c>
      <c r="S128" s="254">
        <f t="shared" si="89"/>
        <v>64190.568609515358</v>
      </c>
      <c r="T128" s="254">
        <f t="shared" ca="1" si="89"/>
        <v>924639.12184494268</v>
      </c>
      <c r="U128" s="254">
        <f t="shared" ca="1" si="89"/>
        <v>0</v>
      </c>
      <c r="V128" s="254">
        <f t="shared" ca="1" si="89"/>
        <v>-7.3525466417011458E-11</v>
      </c>
      <c r="W128" s="254">
        <f t="shared" ca="1" si="89"/>
        <v>0</v>
      </c>
      <c r="X128" s="255">
        <f t="shared" ca="1" si="89"/>
        <v>0</v>
      </c>
      <c r="Y128" s="127"/>
      <c r="AD128" s="412"/>
      <c r="AE128" s="413"/>
      <c r="AF128" s="412"/>
      <c r="AG128" s="413"/>
      <c r="AH128" s="414"/>
    </row>
    <row r="129" spans="8:34" x14ac:dyDescent="0.25">
      <c r="H129" s="6"/>
      <c r="I129" s="20"/>
      <c r="J129" s="286" t="s">
        <v>108</v>
      </c>
      <c r="K129" s="294">
        <f ca="1">IRR(N129:X129)</f>
        <v>0.19463276728791268</v>
      </c>
      <c r="L129" s="291">
        <f ca="1">SUMIF(N129:X129,"&gt;0")/-SUMIF(N129:X129,"&lt;0")</f>
        <v>2.9067423381338413</v>
      </c>
      <c r="M129" s="292">
        <f ca="1">SUM(N129:X129)</f>
        <v>378011.66853502538</v>
      </c>
      <c r="N129" s="288">
        <f>N123</f>
        <v>-198249.99999999543</v>
      </c>
      <c r="O129" s="257">
        <f t="shared" ref="O129:X129" si="90">O123</f>
        <v>0</v>
      </c>
      <c r="P129" s="257">
        <f t="shared" si="90"/>
        <v>0</v>
      </c>
      <c r="Q129" s="257">
        <f t="shared" si="90"/>
        <v>0</v>
      </c>
      <c r="R129" s="257">
        <f t="shared" si="90"/>
        <v>0</v>
      </c>
      <c r="S129" s="257">
        <f t="shared" si="90"/>
        <v>0</v>
      </c>
      <c r="T129" s="257">
        <f t="shared" ca="1" si="90"/>
        <v>576261.6685350209</v>
      </c>
      <c r="U129" s="257">
        <f t="shared" ca="1" si="90"/>
        <v>0</v>
      </c>
      <c r="V129" s="257">
        <f t="shared" ca="1" si="90"/>
        <v>-6.3499266451055362E-11</v>
      </c>
      <c r="W129" s="257">
        <f t="shared" ca="1" si="90"/>
        <v>0</v>
      </c>
      <c r="X129" s="258">
        <f t="shared" ca="1" si="90"/>
        <v>0</v>
      </c>
      <c r="Y129" s="127"/>
      <c r="AD129" s="412"/>
      <c r="AE129" s="413"/>
      <c r="AF129" s="412"/>
      <c r="AG129" s="413"/>
      <c r="AH129" s="414"/>
    </row>
    <row r="130" spans="8:34" x14ac:dyDescent="0.25">
      <c r="H130" s="6"/>
      <c r="I130" s="20"/>
      <c r="J130" s="49"/>
      <c r="K130" s="50"/>
      <c r="L130" s="50"/>
      <c r="M130" s="50"/>
      <c r="N130" s="50"/>
      <c r="O130" s="50"/>
      <c r="P130" s="50"/>
      <c r="Q130" s="50"/>
      <c r="R130" s="50"/>
      <c r="S130" s="50"/>
      <c r="T130" s="50"/>
      <c r="U130" s="50"/>
      <c r="V130" s="50"/>
      <c r="W130" s="50"/>
      <c r="X130" s="213"/>
      <c r="Y130" s="127"/>
      <c r="AD130" s="412"/>
      <c r="AE130" s="413"/>
      <c r="AF130" s="412"/>
      <c r="AG130" s="413"/>
      <c r="AH130" s="414"/>
    </row>
    <row r="131" spans="8:34" x14ac:dyDescent="0.25">
      <c r="H131" s="6"/>
      <c r="I131" s="20"/>
      <c r="J131" s="67" t="s">
        <v>132</v>
      </c>
      <c r="K131" s="20"/>
      <c r="L131" s="20"/>
      <c r="M131" s="234"/>
      <c r="N131" s="231">
        <f t="shared" ref="N131:X131" si="91">IF(N89=0,0,SUM(-N126,N26))</f>
        <v>0</v>
      </c>
      <c r="O131" s="231">
        <f t="shared" si="91"/>
        <v>0</v>
      </c>
      <c r="P131" s="231">
        <f t="shared" si="91"/>
        <v>0</v>
      </c>
      <c r="Q131" s="231">
        <f t="shared" si="91"/>
        <v>0</v>
      </c>
      <c r="R131" s="231">
        <f t="shared" si="91"/>
        <v>0</v>
      </c>
      <c r="S131" s="231">
        <f t="shared" si="91"/>
        <v>0</v>
      </c>
      <c r="T131" s="231">
        <f t="shared" ca="1" si="91"/>
        <v>1146249.7442508284</v>
      </c>
      <c r="U131" s="231">
        <f t="shared" ca="1" si="91"/>
        <v>0</v>
      </c>
      <c r="V131" s="231">
        <f t="shared" ca="1" si="91"/>
        <v>0</v>
      </c>
      <c r="W131" s="231">
        <f t="shared" ca="1" si="91"/>
        <v>0</v>
      </c>
      <c r="X131" s="232">
        <f t="shared" ca="1" si="91"/>
        <v>0</v>
      </c>
      <c r="Y131" s="127"/>
      <c r="AD131" s="412"/>
      <c r="AE131" s="413"/>
      <c r="AF131" s="412"/>
      <c r="AG131" s="413"/>
      <c r="AH131" s="414"/>
    </row>
    <row r="132" spans="8:34" x14ac:dyDescent="0.25">
      <c r="H132" s="6"/>
      <c r="I132" s="20"/>
      <c r="J132" s="67"/>
      <c r="K132" s="20"/>
      <c r="L132" s="20"/>
      <c r="M132" s="234"/>
      <c r="N132" s="231"/>
      <c r="O132" s="231"/>
      <c r="P132" s="231"/>
      <c r="Q132" s="231"/>
      <c r="R132" s="231"/>
      <c r="S132" s="231"/>
      <c r="T132" s="231"/>
      <c r="U132" s="231"/>
      <c r="V132" s="231"/>
      <c r="W132" s="231"/>
      <c r="X132" s="232"/>
      <c r="Y132" s="127"/>
      <c r="AD132" s="412"/>
      <c r="AE132" s="413"/>
      <c r="AF132" s="412"/>
      <c r="AG132" s="413"/>
      <c r="AH132" s="414"/>
    </row>
    <row r="133" spans="8:34" ht="15" customHeight="1" x14ac:dyDescent="0.25">
      <c r="H133" s="6"/>
      <c r="I133" s="20"/>
      <c r="J133" s="447" t="str">
        <f ca="1">IF(ROUND(SUM(N131:X131),2)=0,"NO MORE CASH TO DISTRIBUTE","")</f>
        <v/>
      </c>
      <c r="K133" s="448"/>
      <c r="L133" s="448"/>
      <c r="M133" s="448"/>
      <c r="N133" s="448"/>
      <c r="O133" s="448"/>
      <c r="P133" s="448"/>
      <c r="Q133" s="448"/>
      <c r="R133" s="448"/>
      <c r="S133" s="448"/>
      <c r="T133" s="448"/>
      <c r="U133" s="448"/>
      <c r="V133" s="448"/>
      <c r="W133" s="448"/>
      <c r="X133" s="449"/>
      <c r="Y133" s="127"/>
      <c r="AD133" s="412"/>
      <c r="AE133" s="413"/>
      <c r="AF133" s="412"/>
      <c r="AG133" s="413"/>
      <c r="AH133" s="414"/>
    </row>
    <row r="134" spans="8:34" ht="15" customHeight="1" x14ac:dyDescent="0.25">
      <c r="H134" s="6"/>
      <c r="I134" s="20"/>
      <c r="J134" s="450"/>
      <c r="K134" s="451"/>
      <c r="L134" s="451"/>
      <c r="M134" s="451"/>
      <c r="N134" s="451"/>
      <c r="O134" s="451"/>
      <c r="P134" s="451"/>
      <c r="Q134" s="451"/>
      <c r="R134" s="451"/>
      <c r="S134" s="451"/>
      <c r="T134" s="451"/>
      <c r="U134" s="451"/>
      <c r="V134" s="451"/>
      <c r="W134" s="451"/>
      <c r="X134" s="452"/>
      <c r="Y134" s="127"/>
      <c r="AD134" s="412"/>
      <c r="AE134" s="413"/>
      <c r="AF134" s="412"/>
      <c r="AG134" s="413"/>
      <c r="AH134" s="414"/>
    </row>
    <row r="135" spans="8:34" x14ac:dyDescent="0.25">
      <c r="H135" s="6"/>
      <c r="I135" s="20"/>
      <c r="J135" s="317" t="s">
        <v>158</v>
      </c>
      <c r="K135" s="319"/>
      <c r="L135" s="319"/>
      <c r="M135" s="319"/>
      <c r="N135" s="319"/>
      <c r="O135" s="319"/>
      <c r="P135" s="319"/>
      <c r="Q135" s="319"/>
      <c r="R135" s="319"/>
      <c r="S135" s="319"/>
      <c r="T135" s="319"/>
      <c r="U135" s="319"/>
      <c r="V135" s="319"/>
      <c r="W135" s="319"/>
      <c r="X135" s="318"/>
      <c r="Y135" s="127"/>
      <c r="AD135" s="412"/>
      <c r="AE135" s="413"/>
      <c r="AF135" s="412"/>
      <c r="AG135" s="413"/>
      <c r="AH135" s="414"/>
    </row>
    <row r="136" spans="8:34" x14ac:dyDescent="0.25">
      <c r="H136" s="6"/>
      <c r="I136" s="20"/>
      <c r="J136" s="18"/>
      <c r="K136" s="315"/>
      <c r="L136" s="315"/>
      <c r="M136" s="315"/>
      <c r="N136" s="315">
        <v>0</v>
      </c>
      <c r="O136" s="315">
        <v>1</v>
      </c>
      <c r="P136" s="315">
        <v>2</v>
      </c>
      <c r="Q136" s="315">
        <v>3</v>
      </c>
      <c r="R136" s="315">
        <v>4</v>
      </c>
      <c r="S136" s="315">
        <v>5</v>
      </c>
      <c r="T136" s="315">
        <v>6</v>
      </c>
      <c r="U136" s="315">
        <v>7</v>
      </c>
      <c r="V136" s="315">
        <v>8</v>
      </c>
      <c r="W136" s="315">
        <v>9</v>
      </c>
      <c r="X136" s="316">
        <v>10</v>
      </c>
      <c r="Y136" s="127"/>
      <c r="AD136" s="412"/>
      <c r="AE136" s="413"/>
      <c r="AF136" s="412"/>
      <c r="AG136" s="413"/>
      <c r="AH136" s="414"/>
    </row>
    <row r="137" spans="8:34" x14ac:dyDescent="0.25">
      <c r="H137" s="6"/>
      <c r="I137" s="20"/>
      <c r="J137" s="2"/>
      <c r="K137" s="20"/>
      <c r="L137" s="20"/>
      <c r="M137" s="20"/>
      <c r="N137" s="20"/>
      <c r="O137" s="20"/>
      <c r="P137" s="20"/>
      <c r="Q137" s="20"/>
      <c r="R137" s="20"/>
      <c r="S137" s="20"/>
      <c r="T137" s="20"/>
      <c r="U137" s="20"/>
      <c r="V137" s="20"/>
      <c r="W137" s="20"/>
      <c r="X137" s="83"/>
      <c r="Y137" s="127"/>
      <c r="AD137" s="412"/>
      <c r="AE137" s="413"/>
      <c r="AF137" s="412"/>
      <c r="AG137" s="413"/>
      <c r="AH137" s="414"/>
    </row>
    <row r="138" spans="8:34" x14ac:dyDescent="0.25">
      <c r="H138" s="6"/>
      <c r="I138" s="20"/>
      <c r="J138" s="2" t="s">
        <v>154</v>
      </c>
      <c r="K138" s="20"/>
      <c r="L138" s="20"/>
      <c r="M138" s="20"/>
      <c r="N138" s="234">
        <f t="shared" ref="N138:X138" si="92">N$131*$D52</f>
        <v>0</v>
      </c>
      <c r="O138" s="234">
        <f t="shared" si="92"/>
        <v>0</v>
      </c>
      <c r="P138" s="234">
        <f t="shared" si="92"/>
        <v>0</v>
      </c>
      <c r="Q138" s="234">
        <f t="shared" si="92"/>
        <v>0</v>
      </c>
      <c r="R138" s="234">
        <f t="shared" si="92"/>
        <v>0</v>
      </c>
      <c r="S138" s="234">
        <f t="shared" si="92"/>
        <v>0</v>
      </c>
      <c r="T138" s="234">
        <f t="shared" ca="1" si="92"/>
        <v>974312.28261320409</v>
      </c>
      <c r="U138" s="234">
        <f t="shared" ca="1" si="92"/>
        <v>0</v>
      </c>
      <c r="V138" s="234">
        <f t="shared" ca="1" si="92"/>
        <v>0</v>
      </c>
      <c r="W138" s="234">
        <f t="shared" ca="1" si="92"/>
        <v>0</v>
      </c>
      <c r="X138" s="235">
        <f t="shared" ca="1" si="92"/>
        <v>0</v>
      </c>
      <c r="Y138" s="127"/>
      <c r="AD138" s="412"/>
      <c r="AE138" s="413"/>
      <c r="AF138" s="412"/>
      <c r="AG138" s="413"/>
      <c r="AH138" s="414"/>
    </row>
    <row r="139" spans="8:34" x14ac:dyDescent="0.25">
      <c r="H139" s="6"/>
      <c r="I139" s="20"/>
      <c r="J139" s="2" t="s">
        <v>184</v>
      </c>
      <c r="K139" s="20"/>
      <c r="L139" s="20"/>
      <c r="M139" s="20"/>
      <c r="N139" s="234">
        <f t="shared" ref="N139:X139" si="93">N$131*$D51</f>
        <v>0</v>
      </c>
      <c r="O139" s="234">
        <f t="shared" si="93"/>
        <v>0</v>
      </c>
      <c r="P139" s="234">
        <f t="shared" si="93"/>
        <v>0</v>
      </c>
      <c r="Q139" s="234">
        <f t="shared" si="93"/>
        <v>0</v>
      </c>
      <c r="R139" s="234">
        <f t="shared" si="93"/>
        <v>0</v>
      </c>
      <c r="S139" s="234">
        <f t="shared" si="93"/>
        <v>0</v>
      </c>
      <c r="T139" s="234">
        <f t="shared" ca="1" si="93"/>
        <v>171937.46163762425</v>
      </c>
      <c r="U139" s="234">
        <f t="shared" ca="1" si="93"/>
        <v>0</v>
      </c>
      <c r="V139" s="234">
        <f t="shared" ca="1" si="93"/>
        <v>0</v>
      </c>
      <c r="W139" s="234">
        <f t="shared" ca="1" si="93"/>
        <v>0</v>
      </c>
      <c r="X139" s="235">
        <f t="shared" ca="1" si="93"/>
        <v>0</v>
      </c>
      <c r="Y139" s="127"/>
      <c r="AD139" s="412"/>
      <c r="AE139" s="413"/>
      <c r="AF139" s="412"/>
      <c r="AG139" s="413"/>
      <c r="AH139" s="414"/>
    </row>
    <row r="140" spans="8:34" x14ac:dyDescent="0.25">
      <c r="H140" s="6"/>
      <c r="I140" s="20"/>
      <c r="J140" s="2"/>
      <c r="K140" s="20"/>
      <c r="L140" s="20"/>
      <c r="M140" s="20"/>
      <c r="N140" s="20"/>
      <c r="O140" s="20"/>
      <c r="P140" s="20"/>
      <c r="Q140" s="20"/>
      <c r="R140" s="20"/>
      <c r="S140" s="20"/>
      <c r="T140" s="20"/>
      <c r="U140" s="20"/>
      <c r="V140" s="20"/>
      <c r="W140" s="20"/>
      <c r="X140" s="83"/>
      <c r="Y140" s="127"/>
      <c r="AD140" s="412"/>
      <c r="AE140" s="413"/>
      <c r="AF140" s="412"/>
      <c r="AG140" s="413"/>
      <c r="AH140" s="414"/>
    </row>
    <row r="141" spans="8:34" x14ac:dyDescent="0.25">
      <c r="H141" s="6"/>
      <c r="I141" s="20"/>
      <c r="J141" s="67" t="s">
        <v>117</v>
      </c>
      <c r="K141" s="20"/>
      <c r="L141" s="20"/>
      <c r="M141" s="20"/>
      <c r="N141" s="20"/>
      <c r="O141" s="20"/>
      <c r="P141" s="20"/>
      <c r="Q141" s="20"/>
      <c r="R141" s="20"/>
      <c r="S141" s="20"/>
      <c r="T141" s="20"/>
      <c r="U141" s="20"/>
      <c r="V141" s="20"/>
      <c r="W141" s="20"/>
      <c r="X141" s="83"/>
      <c r="Y141" s="127"/>
      <c r="AD141" s="412"/>
      <c r="AE141" s="413"/>
      <c r="AF141" s="412"/>
      <c r="AG141" s="413"/>
      <c r="AH141" s="414"/>
    </row>
    <row r="142" spans="8:34" x14ac:dyDescent="0.25">
      <c r="H142" s="6"/>
      <c r="I142" s="20"/>
      <c r="J142" s="2" t="s">
        <v>120</v>
      </c>
      <c r="K142" s="20"/>
      <c r="L142" s="20"/>
      <c r="M142" s="20"/>
      <c r="N142" s="234">
        <f>N29</f>
        <v>3766749.9999999162</v>
      </c>
      <c r="O142" s="234">
        <f>IF(AND(N138&gt;0,-N147=N138),0,N150)</f>
        <v>3766749.9999999162</v>
      </c>
      <c r="P142" s="234">
        <f>IF(AND(O138&gt;0,-O147=O138),0,O150)</f>
        <v>4197779.9304629574</v>
      </c>
      <c r="Q142" s="234">
        <f t="shared" ref="Q142:X142" si="94">IF(AND(P138&gt;0,-P147=P138),0,P150)</f>
        <v>4742674.7270186078</v>
      </c>
      <c r="R142" s="234">
        <f t="shared" si="94"/>
        <v>5428053.4033043049</v>
      </c>
      <c r="S142" s="234">
        <f t="shared" si="94"/>
        <v>6174897.4706391413</v>
      </c>
      <c r="T142" s="234">
        <f t="shared" si="94"/>
        <v>7003336.6969067063</v>
      </c>
      <c r="U142" s="234">
        <f t="shared" ca="1" si="94"/>
        <v>0</v>
      </c>
      <c r="V142" s="234">
        <f ca="1">IF(AND(U138&gt;0,-U147=U138),0,U150)</f>
        <v>0</v>
      </c>
      <c r="W142" s="234">
        <f t="shared" ca="1" si="94"/>
        <v>4.6566128730773926E-10</v>
      </c>
      <c r="X142" s="235">
        <f t="shared" ca="1" si="94"/>
        <v>5.5879354476928709E-10</v>
      </c>
      <c r="Y142" s="127"/>
      <c r="AD142" s="412"/>
      <c r="AE142" s="413"/>
      <c r="AF142" s="412"/>
      <c r="AG142" s="413"/>
      <c r="AH142" s="414"/>
    </row>
    <row r="143" spans="8:34" x14ac:dyDescent="0.25">
      <c r="H143" s="6"/>
      <c r="I143" s="20"/>
      <c r="J143" s="2" t="s">
        <v>119</v>
      </c>
      <c r="K143" s="20"/>
      <c r="L143" s="20"/>
      <c r="M143" s="20"/>
      <c r="N143" s="20"/>
      <c r="O143" s="279">
        <f>O142*$D$49</f>
        <v>753349.99999998324</v>
      </c>
      <c r="P143" s="279">
        <f t="shared" ref="P143:X143" si="95">P142*$D$49</f>
        <v>839555.98609259154</v>
      </c>
      <c r="Q143" s="279">
        <f t="shared" si="95"/>
        <v>948534.94540372165</v>
      </c>
      <c r="R143" s="279">
        <f t="shared" si="95"/>
        <v>1085610.6806608611</v>
      </c>
      <c r="S143" s="279">
        <f t="shared" si="95"/>
        <v>1234979.4941278284</v>
      </c>
      <c r="T143" s="279">
        <f t="shared" si="95"/>
        <v>1400667.3393813414</v>
      </c>
      <c r="U143" s="279">
        <f t="shared" ca="1" si="95"/>
        <v>0</v>
      </c>
      <c r="V143" s="279">
        <f t="shared" ca="1" si="95"/>
        <v>0</v>
      </c>
      <c r="W143" s="279">
        <f t="shared" ca="1" si="95"/>
        <v>9.3132257461547857E-11</v>
      </c>
      <c r="X143" s="299">
        <f t="shared" ca="1" si="95"/>
        <v>1.1175870895385742E-10</v>
      </c>
      <c r="Y143" s="127"/>
      <c r="AD143" s="412"/>
      <c r="AE143" s="413"/>
      <c r="AF143" s="412"/>
      <c r="AG143" s="413"/>
      <c r="AH143" s="414"/>
    </row>
    <row r="144" spans="8:34" x14ac:dyDescent="0.25">
      <c r="H144" s="6"/>
      <c r="I144" s="20"/>
      <c r="J144" s="2" t="s">
        <v>151</v>
      </c>
      <c r="K144" s="20"/>
      <c r="L144" s="20"/>
      <c r="M144" s="20"/>
      <c r="N144" s="20"/>
      <c r="O144" s="234">
        <f t="shared" ref="O144:X144" si="96">O31</f>
        <v>-301339.99999999331</v>
      </c>
      <c r="P144" s="234">
        <f t="shared" si="96"/>
        <v>-294661.18953694159</v>
      </c>
      <c r="Q144" s="234">
        <f t="shared" si="96"/>
        <v>-263156.2691180238</v>
      </c>
      <c r="R144" s="234">
        <f t="shared" si="96"/>
        <v>-338766.61332602391</v>
      </c>
      <c r="S144" s="234">
        <f t="shared" si="96"/>
        <v>-306307.05554653914</v>
      </c>
      <c r="T144" s="234">
        <f t="shared" ca="1" si="96"/>
        <v>-291642.93745193945</v>
      </c>
      <c r="U144" s="234">
        <f t="shared" ca="1" si="96"/>
        <v>0</v>
      </c>
      <c r="V144" s="234">
        <f t="shared" ca="1" si="96"/>
        <v>0</v>
      </c>
      <c r="W144" s="234">
        <f t="shared" ca="1" si="96"/>
        <v>0</v>
      </c>
      <c r="X144" s="235">
        <f t="shared" ca="1" si="96"/>
        <v>0</v>
      </c>
      <c r="Y144" s="127"/>
      <c r="AD144" s="412"/>
      <c r="AE144" s="413"/>
      <c r="AF144" s="412"/>
      <c r="AG144" s="413"/>
      <c r="AH144" s="414"/>
    </row>
    <row r="145" spans="8:34" x14ac:dyDescent="0.25">
      <c r="H145" s="6"/>
      <c r="I145" s="20"/>
      <c r="J145" s="2" t="s">
        <v>176</v>
      </c>
      <c r="K145" s="20"/>
      <c r="L145" s="20"/>
      <c r="M145" s="20"/>
      <c r="N145" s="20"/>
      <c r="O145" s="234">
        <f>IF($D$32="no",0,-O72)</f>
        <v>0</v>
      </c>
      <c r="P145" s="234">
        <f t="shared" ref="P145:X145" si="97">IF($D$32="no",0,-P72)</f>
        <v>0</v>
      </c>
      <c r="Q145" s="234">
        <f t="shared" si="97"/>
        <v>0</v>
      </c>
      <c r="R145" s="234">
        <f t="shared" si="97"/>
        <v>0</v>
      </c>
      <c r="S145" s="234">
        <f t="shared" si="97"/>
        <v>0</v>
      </c>
      <c r="T145" s="234">
        <f t="shared" si="97"/>
        <v>0</v>
      </c>
      <c r="U145" s="234">
        <f t="shared" si="97"/>
        <v>0</v>
      </c>
      <c r="V145" s="234">
        <f t="shared" si="97"/>
        <v>0</v>
      </c>
      <c r="W145" s="234">
        <f t="shared" si="97"/>
        <v>0</v>
      </c>
      <c r="X145" s="235">
        <f t="shared" si="97"/>
        <v>0</v>
      </c>
      <c r="Y145" s="127"/>
      <c r="AD145" s="412"/>
      <c r="AE145" s="413"/>
      <c r="AF145" s="412"/>
      <c r="AG145" s="413"/>
      <c r="AH145" s="414"/>
    </row>
    <row r="146" spans="8:34" x14ac:dyDescent="0.25">
      <c r="H146" s="6"/>
      <c r="I146" s="20"/>
      <c r="J146" s="2" t="s">
        <v>152</v>
      </c>
      <c r="K146" s="20"/>
      <c r="L146" s="20"/>
      <c r="M146" s="20"/>
      <c r="N146" s="20"/>
      <c r="O146" s="234">
        <f t="shared" ref="O146:T146" si="98">O104</f>
        <v>0</v>
      </c>
      <c r="P146" s="234">
        <f t="shared" si="98"/>
        <v>0</v>
      </c>
      <c r="Q146" s="234">
        <f t="shared" si="98"/>
        <v>0</v>
      </c>
      <c r="R146" s="234">
        <f t="shared" si="98"/>
        <v>0</v>
      </c>
      <c r="S146" s="234">
        <f t="shared" si="98"/>
        <v>0</v>
      </c>
      <c r="T146" s="234">
        <f t="shared" ca="1" si="98"/>
        <v>-1918868.1160834543</v>
      </c>
      <c r="U146" s="234">
        <f ca="1">U104</f>
        <v>0</v>
      </c>
      <c r="V146" s="234">
        <f t="shared" ref="V146:X146" ca="1" si="99">V104</f>
        <v>4.6566128730773926E-10</v>
      </c>
      <c r="W146" s="234">
        <f t="shared" ca="1" si="99"/>
        <v>0</v>
      </c>
      <c r="X146" s="235">
        <f t="shared" ca="1" si="99"/>
        <v>0</v>
      </c>
      <c r="Y146" s="127"/>
      <c r="AD146" s="412"/>
      <c r="AE146" s="413"/>
      <c r="AF146" s="412"/>
      <c r="AG146" s="413"/>
      <c r="AH146" s="414"/>
    </row>
    <row r="147" spans="8:34" x14ac:dyDescent="0.25">
      <c r="H147" s="6"/>
      <c r="I147" s="20"/>
      <c r="J147" s="2" t="s">
        <v>159</v>
      </c>
      <c r="K147" s="20"/>
      <c r="L147" s="20"/>
      <c r="M147" s="20"/>
      <c r="N147" s="20"/>
      <c r="O147" s="234">
        <f>-MIN(SUM($N$143:N147)+SUM(O143:O146),O138)</f>
        <v>0</v>
      </c>
      <c r="P147" s="234">
        <f>-MIN(SUM($N$143:O147)+SUM(P143:P146),P138)</f>
        <v>0</v>
      </c>
      <c r="Q147" s="234">
        <f>-MIN(SUM($N$143:P147)+SUM(Q143:Q146),Q138)</f>
        <v>0</v>
      </c>
      <c r="R147" s="234">
        <f>-MIN(SUM($N$143:Q147)+SUM(R143:R146),R138)</f>
        <v>0</v>
      </c>
      <c r="S147" s="234">
        <f>-MIN(SUM($N$143:R147)+SUM(S143:S146),S138)</f>
        <v>0</v>
      </c>
      <c r="T147" s="234">
        <f ca="1">-MIN(SUM($N$143:S147)+SUM(T143:T146),T138)</f>
        <v>-974312.28261320409</v>
      </c>
      <c r="U147" s="234">
        <f ca="1">-MIN(SUM($N$143:T147)+SUM(U143:U146),U138)</f>
        <v>0</v>
      </c>
      <c r="V147" s="234">
        <f ca="1">-MIN(SUM($N$143:U147)+SUM(V143:V146),V138)</f>
        <v>0</v>
      </c>
      <c r="W147" s="234">
        <f ca="1">-MIN(SUM($N$143:V147)+SUM(W143:W146),W138)</f>
        <v>0</v>
      </c>
      <c r="X147" s="235">
        <f ca="1">-MIN(SUM($N$143:W147)+SUM(X143:X146),X138)</f>
        <v>0</v>
      </c>
      <c r="Y147" s="127"/>
      <c r="AD147" s="412"/>
      <c r="AE147" s="413"/>
      <c r="AF147" s="412"/>
      <c r="AG147" s="413"/>
      <c r="AH147" s="414"/>
    </row>
    <row r="148" spans="8:34" x14ac:dyDescent="0.25">
      <c r="H148" s="6"/>
      <c r="I148" s="20"/>
      <c r="J148" s="2" t="s">
        <v>121</v>
      </c>
      <c r="K148" s="20"/>
      <c r="L148" s="20"/>
      <c r="M148" s="20"/>
      <c r="N148" s="20"/>
      <c r="O148" s="234">
        <f t="shared" ref="O148:X148" si="100">O32</f>
        <v>0</v>
      </c>
      <c r="P148" s="234">
        <f t="shared" si="100"/>
        <v>0</v>
      </c>
      <c r="Q148" s="234">
        <f t="shared" si="100"/>
        <v>0</v>
      </c>
      <c r="R148" s="234">
        <f t="shared" si="100"/>
        <v>0</v>
      </c>
      <c r="S148" s="234">
        <f t="shared" si="100"/>
        <v>0</v>
      </c>
      <c r="T148" s="234">
        <f t="shared" ca="1" si="100"/>
        <v>0</v>
      </c>
      <c r="U148" s="234">
        <f t="shared" si="100"/>
        <v>0</v>
      </c>
      <c r="V148" s="234">
        <f t="shared" si="100"/>
        <v>0</v>
      </c>
      <c r="W148" s="234">
        <f t="shared" si="100"/>
        <v>0</v>
      </c>
      <c r="X148" s="235">
        <f t="shared" si="100"/>
        <v>0</v>
      </c>
      <c r="Y148" s="127"/>
      <c r="AD148" s="412"/>
      <c r="AE148" s="413"/>
      <c r="AF148" s="412"/>
      <c r="AG148" s="413"/>
      <c r="AH148" s="414"/>
    </row>
    <row r="149" spans="8:34" x14ac:dyDescent="0.25">
      <c r="H149" s="6"/>
      <c r="I149" s="20"/>
      <c r="J149" s="4" t="s">
        <v>122</v>
      </c>
      <c r="K149" s="21"/>
      <c r="L149" s="21"/>
      <c r="M149" s="21"/>
      <c r="N149" s="21"/>
      <c r="O149" s="237">
        <f t="shared" ref="O149:X149" si="101">O33</f>
        <v>-20980.069536948286</v>
      </c>
      <c r="P149" s="237">
        <f t="shared" si="101"/>
        <v>0</v>
      </c>
      <c r="Q149" s="237">
        <f t="shared" si="101"/>
        <v>0</v>
      </c>
      <c r="R149" s="237">
        <f t="shared" si="101"/>
        <v>0</v>
      </c>
      <c r="S149" s="237">
        <f t="shared" si="101"/>
        <v>-100233.2123137248</v>
      </c>
      <c r="T149" s="237">
        <f t="shared" ca="1" si="101"/>
        <v>-3645536.7181492429</v>
      </c>
      <c r="U149" s="237">
        <f t="shared" ca="1" si="101"/>
        <v>0</v>
      </c>
      <c r="V149" s="237">
        <f t="shared" ca="1" si="101"/>
        <v>0</v>
      </c>
      <c r="W149" s="237">
        <f t="shared" ca="1" si="101"/>
        <v>0</v>
      </c>
      <c r="X149" s="238">
        <f t="shared" ca="1" si="101"/>
        <v>0</v>
      </c>
      <c r="Y149" s="127"/>
      <c r="AD149" s="412"/>
      <c r="AE149" s="413"/>
      <c r="AF149" s="412"/>
      <c r="AG149" s="413"/>
      <c r="AH149" s="414"/>
    </row>
    <row r="150" spans="8:34" x14ac:dyDescent="0.25">
      <c r="H150" s="6"/>
      <c r="I150" s="20"/>
      <c r="J150" s="312" t="s">
        <v>123</v>
      </c>
      <c r="K150" s="50"/>
      <c r="L150" s="50"/>
      <c r="M150" s="50"/>
      <c r="N150" s="302">
        <f>SUM(N142:N149)</f>
        <v>3766749.9999999162</v>
      </c>
      <c r="O150" s="302">
        <f>SUM(O142:O149)</f>
        <v>4197779.9304629574</v>
      </c>
      <c r="P150" s="302">
        <f t="shared" ref="P150:X150" si="102">SUM(P142:P149)</f>
        <v>4742674.7270186078</v>
      </c>
      <c r="Q150" s="302">
        <f t="shared" si="102"/>
        <v>5428053.4033043049</v>
      </c>
      <c r="R150" s="302">
        <f t="shared" si="102"/>
        <v>6174897.4706391413</v>
      </c>
      <c r="S150" s="302">
        <f t="shared" si="102"/>
        <v>7003336.6969067063</v>
      </c>
      <c r="T150" s="302">
        <f t="shared" ca="1" si="102"/>
        <v>1573643.981990207</v>
      </c>
      <c r="U150" s="302">
        <f t="shared" ca="1" si="102"/>
        <v>0</v>
      </c>
      <c r="V150" s="302">
        <f t="shared" ca="1" si="102"/>
        <v>4.6566128730773926E-10</v>
      </c>
      <c r="W150" s="302">
        <f t="shared" ca="1" si="102"/>
        <v>5.5879354476928709E-10</v>
      </c>
      <c r="X150" s="324">
        <f t="shared" ca="1" si="102"/>
        <v>6.7055225372314451E-10</v>
      </c>
      <c r="Y150" s="127"/>
      <c r="AD150" s="412"/>
      <c r="AE150" s="413"/>
      <c r="AF150" s="412"/>
      <c r="AG150" s="413"/>
      <c r="AH150" s="414"/>
    </row>
    <row r="151" spans="8:34" x14ac:dyDescent="0.25">
      <c r="H151" s="6"/>
      <c r="I151" s="20"/>
      <c r="J151" s="2"/>
      <c r="K151" s="20"/>
      <c r="L151" s="20"/>
      <c r="M151" s="20"/>
      <c r="N151" s="20"/>
      <c r="O151" s="20"/>
      <c r="P151" s="20"/>
      <c r="Q151" s="20"/>
      <c r="R151" s="20"/>
      <c r="S151" s="20"/>
      <c r="T151" s="20"/>
      <c r="U151" s="20"/>
      <c r="V151" s="20"/>
      <c r="W151" s="20"/>
      <c r="X151" s="83"/>
      <c r="Y151" s="127"/>
      <c r="AD151" s="412"/>
      <c r="AE151" s="413"/>
      <c r="AF151" s="412"/>
      <c r="AG151" s="413"/>
      <c r="AH151" s="414"/>
    </row>
    <row r="152" spans="8:34" x14ac:dyDescent="0.25">
      <c r="H152" s="6"/>
      <c r="I152" s="20"/>
      <c r="J152" s="67" t="s">
        <v>160</v>
      </c>
      <c r="K152" s="23">
        <f ca="1">IRR(N152:X152)</f>
        <v>0.16493057546820244</v>
      </c>
      <c r="L152" s="69"/>
      <c r="M152" s="69"/>
      <c r="N152" s="231">
        <f>-N150</f>
        <v>-3766749.9999999162</v>
      </c>
      <c r="O152" s="231">
        <f>-SUM(O144:O149)</f>
        <v>322320.06953694159</v>
      </c>
      <c r="P152" s="231">
        <f t="shared" ref="P152:X152" si="103">-SUM(P144:P149)</f>
        <v>294661.18953694159</v>
      </c>
      <c r="Q152" s="231">
        <f t="shared" si="103"/>
        <v>263156.2691180238</v>
      </c>
      <c r="R152" s="231">
        <f t="shared" si="103"/>
        <v>338766.61332602391</v>
      </c>
      <c r="S152" s="231">
        <f t="shared" si="103"/>
        <v>406540.26786026394</v>
      </c>
      <c r="T152" s="231">
        <f t="shared" ca="1" si="103"/>
        <v>6830360.0542978412</v>
      </c>
      <c r="U152" s="231">
        <f ca="1">-SUM(U144:U149)</f>
        <v>0</v>
      </c>
      <c r="V152" s="231">
        <f t="shared" ca="1" si="103"/>
        <v>-4.6566128730773926E-10</v>
      </c>
      <c r="W152" s="231">
        <f t="shared" ca="1" si="103"/>
        <v>0</v>
      </c>
      <c r="X152" s="232">
        <f t="shared" ca="1" si="103"/>
        <v>0</v>
      </c>
      <c r="Y152" s="127"/>
      <c r="AD152" s="412"/>
      <c r="AE152" s="413"/>
      <c r="AF152" s="412"/>
      <c r="AG152" s="413"/>
      <c r="AH152" s="414"/>
    </row>
    <row r="153" spans="8:34" x14ac:dyDescent="0.25">
      <c r="H153" s="6"/>
      <c r="I153" s="20"/>
      <c r="J153" s="3" t="s">
        <v>161</v>
      </c>
      <c r="K153" s="137">
        <f ca="1">IRR(N153:X153)</f>
        <v>0.16493057546820244</v>
      </c>
      <c r="L153" s="20"/>
      <c r="M153" s="20"/>
      <c r="N153" s="279">
        <f t="shared" ref="N153:X153" si="104">N$152*$D53/$D$52</f>
        <v>-3171999.9999999292</v>
      </c>
      <c r="O153" s="279">
        <f t="shared" si="104"/>
        <v>271427.42697847716</v>
      </c>
      <c r="P153" s="279">
        <f t="shared" si="104"/>
        <v>248135.73855742451</v>
      </c>
      <c r="Q153" s="279">
        <f t="shared" si="104"/>
        <v>221605.2792572832</v>
      </c>
      <c r="R153" s="279">
        <f t="shared" si="104"/>
        <v>285277.14806402015</v>
      </c>
      <c r="S153" s="279">
        <f t="shared" si="104"/>
        <v>342349.69925074861</v>
      </c>
      <c r="T153" s="279">
        <f t="shared" ca="1" si="104"/>
        <v>5751882.1509876568</v>
      </c>
      <c r="U153" s="279">
        <f t="shared" ca="1" si="104"/>
        <v>0</v>
      </c>
      <c r="V153" s="279">
        <f t="shared" ca="1" si="104"/>
        <v>-3.9213582089072783E-10</v>
      </c>
      <c r="W153" s="279">
        <f t="shared" ca="1" si="104"/>
        <v>0</v>
      </c>
      <c r="X153" s="299">
        <f t="shared" ca="1" si="104"/>
        <v>0</v>
      </c>
      <c r="Y153" s="127"/>
      <c r="AD153" s="412"/>
      <c r="AE153" s="413"/>
      <c r="AF153" s="412"/>
      <c r="AG153" s="413"/>
      <c r="AH153" s="414"/>
    </row>
    <row r="154" spans="8:34" x14ac:dyDescent="0.25">
      <c r="H154" s="6"/>
      <c r="I154" s="20"/>
      <c r="J154" s="132" t="s">
        <v>162</v>
      </c>
      <c r="K154" s="325">
        <f ca="1">IFERROR(IRR(N154:X154),"")</f>
        <v>0.16493057546820244</v>
      </c>
      <c r="L154" s="21"/>
      <c r="M154" s="21"/>
      <c r="N154" s="279">
        <f t="shared" ref="N154:X154" si="105">N$152*$D54/$D$52</f>
        <v>-594749.99999998685</v>
      </c>
      <c r="O154" s="279">
        <f t="shared" si="105"/>
        <v>50892.642558464468</v>
      </c>
      <c r="P154" s="279">
        <f t="shared" si="105"/>
        <v>46525.450979517096</v>
      </c>
      <c r="Q154" s="279">
        <f t="shared" si="105"/>
        <v>41550.989860740607</v>
      </c>
      <c r="R154" s="279">
        <f t="shared" si="105"/>
        <v>53489.465262003781</v>
      </c>
      <c r="S154" s="279">
        <f t="shared" si="105"/>
        <v>64190.568609515358</v>
      </c>
      <c r="T154" s="279">
        <f t="shared" ca="1" si="105"/>
        <v>1078477.9033101855</v>
      </c>
      <c r="U154" s="279">
        <f t="shared" ca="1" si="105"/>
        <v>0</v>
      </c>
      <c r="V154" s="279">
        <f t="shared" ca="1" si="105"/>
        <v>-7.3525466417011471E-11</v>
      </c>
      <c r="W154" s="279">
        <f t="shared" ca="1" si="105"/>
        <v>0</v>
      </c>
      <c r="X154" s="328">
        <f t="shared" ca="1" si="105"/>
        <v>0</v>
      </c>
      <c r="Y154" s="127"/>
      <c r="AD154" s="412"/>
      <c r="AE154" s="413"/>
      <c r="AF154" s="412"/>
      <c r="AG154" s="413"/>
      <c r="AH154" s="414"/>
    </row>
    <row r="155" spans="8:34" x14ac:dyDescent="0.25">
      <c r="H155" s="6"/>
      <c r="I155" s="20"/>
      <c r="J155" s="49"/>
      <c r="K155" s="50"/>
      <c r="L155" s="50"/>
      <c r="M155" s="50"/>
      <c r="N155" s="50"/>
      <c r="O155" s="50"/>
      <c r="P155" s="50"/>
      <c r="Q155" s="50"/>
      <c r="R155" s="50"/>
      <c r="S155" s="50"/>
      <c r="T155" s="50"/>
      <c r="U155" s="50"/>
      <c r="V155" s="50"/>
      <c r="W155" s="50"/>
      <c r="X155" s="213"/>
      <c r="Y155" s="127"/>
      <c r="AD155" s="412"/>
      <c r="AE155" s="413"/>
      <c r="AF155" s="412"/>
      <c r="AG155" s="413"/>
      <c r="AH155" s="414"/>
    </row>
    <row r="156" spans="8:34" x14ac:dyDescent="0.25">
      <c r="H156" s="6"/>
      <c r="I156" s="20"/>
      <c r="J156" s="67" t="s">
        <v>185</v>
      </c>
      <c r="K156" s="20"/>
      <c r="L156" s="20"/>
      <c r="M156" s="20"/>
      <c r="N156" s="20"/>
      <c r="O156" s="20"/>
      <c r="P156" s="20"/>
      <c r="Q156" s="20"/>
      <c r="R156" s="20"/>
      <c r="S156" s="20"/>
      <c r="T156" s="20"/>
      <c r="U156" s="20"/>
      <c r="V156" s="20"/>
      <c r="W156" s="20"/>
      <c r="X156" s="83"/>
      <c r="Y156" s="127"/>
      <c r="AD156" s="412"/>
      <c r="AE156" s="413"/>
      <c r="AF156" s="412"/>
      <c r="AG156" s="413"/>
      <c r="AH156" s="414"/>
    </row>
    <row r="157" spans="8:34" x14ac:dyDescent="0.25">
      <c r="H157" s="6"/>
      <c r="I157" s="20"/>
      <c r="J157" s="2" t="s">
        <v>120</v>
      </c>
      <c r="K157" s="20"/>
      <c r="L157" s="20"/>
      <c r="M157" s="20"/>
      <c r="N157" s="234">
        <f>N41</f>
        <v>198249.99999999543</v>
      </c>
      <c r="O157" s="234">
        <f>IF(AND(N162=-N139,N139&gt;0),0,N165)</f>
        <v>198249.99999999543</v>
      </c>
      <c r="P157" s="234">
        <f t="shared" ref="P157:X157" si="106">IF(AND(O162=-O139,O139&gt;0),0,O165)</f>
        <v>237899.99999999453</v>
      </c>
      <c r="Q157" s="234">
        <f t="shared" si="106"/>
        <v>285479.99999999342</v>
      </c>
      <c r="R157" s="234">
        <f t="shared" si="106"/>
        <v>342575.99999999208</v>
      </c>
      <c r="S157" s="234">
        <f t="shared" si="106"/>
        <v>411091.19999999052</v>
      </c>
      <c r="T157" s="234">
        <f>IF(AND(S162=-S139,S139&gt;0),0,S165)</f>
        <v>493309.43999998865</v>
      </c>
      <c r="U157" s="234">
        <f t="shared" ca="1" si="106"/>
        <v>0</v>
      </c>
      <c r="V157" s="234">
        <f t="shared" ca="1" si="106"/>
        <v>0</v>
      </c>
      <c r="W157" s="234">
        <f t="shared" ca="1" si="106"/>
        <v>6.3499266451055362E-11</v>
      </c>
      <c r="X157" s="235">
        <f t="shared" ca="1" si="106"/>
        <v>7.6199119741266436E-11</v>
      </c>
      <c r="Y157" s="127"/>
      <c r="AD157" s="412"/>
      <c r="AE157" s="413"/>
      <c r="AF157" s="412"/>
      <c r="AG157" s="413"/>
      <c r="AH157" s="414"/>
    </row>
    <row r="158" spans="8:34" x14ac:dyDescent="0.25">
      <c r="H158" s="6"/>
      <c r="I158" s="20"/>
      <c r="J158" s="2" t="s">
        <v>119</v>
      </c>
      <c r="K158" s="20"/>
      <c r="L158" s="20"/>
      <c r="M158" s="20"/>
      <c r="N158" s="20"/>
      <c r="O158" s="279">
        <f>O157*$D$49</f>
        <v>39649.999999999091</v>
      </c>
      <c r="P158" s="279">
        <f t="shared" ref="P158:X158" si="107">P157*$D$49</f>
        <v>47579.999999998909</v>
      </c>
      <c r="Q158" s="279">
        <f t="shared" si="107"/>
        <v>57095.99999999869</v>
      </c>
      <c r="R158" s="279">
        <f t="shared" si="107"/>
        <v>68515.199999998425</v>
      </c>
      <c r="S158" s="279">
        <f t="shared" si="107"/>
        <v>82218.239999998113</v>
      </c>
      <c r="T158" s="279">
        <f t="shared" si="107"/>
        <v>98661.887999997736</v>
      </c>
      <c r="U158" s="279">
        <f t="shared" ca="1" si="107"/>
        <v>0</v>
      </c>
      <c r="V158" s="279">
        <f t="shared" ca="1" si="107"/>
        <v>0</v>
      </c>
      <c r="W158" s="279">
        <f t="shared" ca="1" si="107"/>
        <v>1.2699853290211073E-11</v>
      </c>
      <c r="X158" s="299">
        <f t="shared" ca="1" si="107"/>
        <v>1.5239823948253289E-11</v>
      </c>
      <c r="Y158" s="127"/>
      <c r="AD158" s="412"/>
      <c r="AE158" s="413"/>
      <c r="AF158" s="412"/>
      <c r="AG158" s="413"/>
      <c r="AH158" s="414"/>
    </row>
    <row r="159" spans="8:34" x14ac:dyDescent="0.25">
      <c r="H159" s="6"/>
      <c r="I159" s="20"/>
      <c r="J159" s="2" t="s">
        <v>151</v>
      </c>
      <c r="K159" s="20"/>
      <c r="L159" s="20"/>
      <c r="M159" s="20"/>
      <c r="N159" s="20"/>
      <c r="O159" s="234">
        <f t="shared" ref="O159:X159" si="108">O43</f>
        <v>0</v>
      </c>
      <c r="P159" s="234">
        <f t="shared" si="108"/>
        <v>0</v>
      </c>
      <c r="Q159" s="234">
        <f t="shared" si="108"/>
        <v>0</v>
      </c>
      <c r="R159" s="234">
        <f t="shared" si="108"/>
        <v>0</v>
      </c>
      <c r="S159" s="234">
        <f t="shared" si="108"/>
        <v>0</v>
      </c>
      <c r="T159" s="234">
        <f t="shared" ca="1" si="108"/>
        <v>-116347.83452364532</v>
      </c>
      <c r="U159" s="234">
        <f t="shared" ca="1" si="108"/>
        <v>0</v>
      </c>
      <c r="V159" s="234">
        <f t="shared" ca="1" si="108"/>
        <v>0</v>
      </c>
      <c r="W159" s="234">
        <f t="shared" ca="1" si="108"/>
        <v>0</v>
      </c>
      <c r="X159" s="235">
        <f t="shared" ca="1" si="108"/>
        <v>0</v>
      </c>
      <c r="Y159" s="127"/>
      <c r="AD159" s="412"/>
      <c r="AE159" s="413"/>
      <c r="AF159" s="412"/>
      <c r="AG159" s="413"/>
      <c r="AH159" s="414"/>
    </row>
    <row r="160" spans="8:34" x14ac:dyDescent="0.25">
      <c r="H160" s="6"/>
      <c r="I160" s="20"/>
      <c r="J160" s="2" t="s">
        <v>176</v>
      </c>
      <c r="K160" s="20"/>
      <c r="L160" s="20"/>
      <c r="M160" s="20"/>
      <c r="N160" s="20"/>
      <c r="O160" s="234">
        <f>IF($D$32="no",0,-O73)</f>
        <v>0</v>
      </c>
      <c r="P160" s="234">
        <f t="shared" ref="P160:X160" si="109">IF($D$32="no",0,-P73)</f>
        <v>0</v>
      </c>
      <c r="Q160" s="234">
        <f t="shared" si="109"/>
        <v>0</v>
      </c>
      <c r="R160" s="234">
        <f t="shared" si="109"/>
        <v>0</v>
      </c>
      <c r="S160" s="234">
        <f t="shared" si="109"/>
        <v>0</v>
      </c>
      <c r="T160" s="234">
        <f t="shared" si="109"/>
        <v>0</v>
      </c>
      <c r="U160" s="234">
        <f t="shared" si="109"/>
        <v>0</v>
      </c>
      <c r="V160" s="234">
        <f t="shared" si="109"/>
        <v>0</v>
      </c>
      <c r="W160" s="234">
        <f t="shared" si="109"/>
        <v>0</v>
      </c>
      <c r="X160" s="235">
        <f t="shared" si="109"/>
        <v>0</v>
      </c>
      <c r="Y160" s="127"/>
      <c r="AD160" s="412"/>
      <c r="AE160" s="413"/>
      <c r="AF160" s="412"/>
      <c r="AG160" s="413"/>
      <c r="AH160" s="414"/>
    </row>
    <row r="161" spans="8:34" x14ac:dyDescent="0.25">
      <c r="H161" s="6"/>
      <c r="I161" s="20"/>
      <c r="J161" s="2" t="s">
        <v>152</v>
      </c>
      <c r="K161" s="20"/>
      <c r="L161" s="20"/>
      <c r="M161" s="20"/>
      <c r="N161" s="20"/>
      <c r="O161" s="234">
        <f>O118</f>
        <v>0</v>
      </c>
      <c r="P161" s="234">
        <f t="shared" ref="P161:X161" si="110">P118</f>
        <v>0</v>
      </c>
      <c r="Q161" s="234">
        <f t="shared" si="110"/>
        <v>0</v>
      </c>
      <c r="R161" s="234">
        <f t="shared" si="110"/>
        <v>0</v>
      </c>
      <c r="S161" s="234">
        <f t="shared" si="110"/>
        <v>0</v>
      </c>
      <c r="T161" s="234">
        <f t="shared" ca="1" si="110"/>
        <v>-261663.83401138012</v>
      </c>
      <c r="U161" s="234">
        <f t="shared" ca="1" si="110"/>
        <v>0</v>
      </c>
      <c r="V161" s="234">
        <f t="shared" ca="1" si="110"/>
        <v>6.3499266451055362E-11</v>
      </c>
      <c r="W161" s="234">
        <f t="shared" ca="1" si="110"/>
        <v>0</v>
      </c>
      <c r="X161" s="235">
        <f t="shared" ca="1" si="110"/>
        <v>0</v>
      </c>
      <c r="Y161" s="393"/>
      <c r="Z161" s="407"/>
      <c r="AA161" s="407"/>
      <c r="AD161" s="412"/>
      <c r="AE161" s="413"/>
      <c r="AF161" s="412"/>
      <c r="AG161" s="413"/>
      <c r="AH161" s="414"/>
    </row>
    <row r="162" spans="8:34" x14ac:dyDescent="0.25">
      <c r="H162" s="6"/>
      <c r="I162" s="20"/>
      <c r="J162" s="2" t="s">
        <v>174</v>
      </c>
      <c r="K162" s="20"/>
      <c r="L162" s="20"/>
      <c r="M162" s="20"/>
      <c r="N162" s="20"/>
      <c r="O162" s="234">
        <f t="shared" ref="O162:W162" si="111">-MIN(O139,-O147/$D$52*$D$51)</f>
        <v>0</v>
      </c>
      <c r="P162" s="234">
        <f t="shared" si="111"/>
        <v>0</v>
      </c>
      <c r="Q162" s="234">
        <f t="shared" si="111"/>
        <v>0</v>
      </c>
      <c r="R162" s="234">
        <f t="shared" si="111"/>
        <v>0</v>
      </c>
      <c r="S162" s="234">
        <f t="shared" si="111"/>
        <v>0</v>
      </c>
      <c r="T162" s="234">
        <f t="shared" ca="1" si="111"/>
        <v>-171937.46163762425</v>
      </c>
      <c r="U162" s="234">
        <f t="shared" ca="1" si="111"/>
        <v>0</v>
      </c>
      <c r="V162" s="234">
        <f t="shared" ca="1" si="111"/>
        <v>0</v>
      </c>
      <c r="W162" s="234">
        <f t="shared" ca="1" si="111"/>
        <v>0</v>
      </c>
      <c r="X162" s="235">
        <f ca="1">-MIN(X139,-X147/$D$52*$D$51)</f>
        <v>0</v>
      </c>
      <c r="Y162" s="127"/>
      <c r="AD162" s="412"/>
      <c r="AE162" s="413"/>
      <c r="AF162" s="412"/>
      <c r="AG162" s="413"/>
      <c r="AH162" s="414"/>
    </row>
    <row r="163" spans="8:34" x14ac:dyDescent="0.25">
      <c r="H163" s="6"/>
      <c r="I163" s="20"/>
      <c r="J163" s="2" t="s">
        <v>121</v>
      </c>
      <c r="K163" s="20"/>
      <c r="L163" s="20"/>
      <c r="M163" s="20"/>
      <c r="N163" s="20"/>
      <c r="O163" s="234">
        <f t="shared" ref="O163:X163" si="112">O44</f>
        <v>0</v>
      </c>
      <c r="P163" s="234">
        <f t="shared" si="112"/>
        <v>0</v>
      </c>
      <c r="Q163" s="234">
        <f t="shared" si="112"/>
        <v>0</v>
      </c>
      <c r="R163" s="234">
        <f t="shared" si="112"/>
        <v>0</v>
      </c>
      <c r="S163" s="234">
        <f t="shared" si="112"/>
        <v>0</v>
      </c>
      <c r="T163" s="234">
        <f t="shared" ca="1" si="112"/>
        <v>0</v>
      </c>
      <c r="U163" s="234">
        <f t="shared" si="112"/>
        <v>0</v>
      </c>
      <c r="V163" s="234">
        <f t="shared" si="112"/>
        <v>0</v>
      </c>
      <c r="W163" s="234">
        <f t="shared" si="112"/>
        <v>0</v>
      </c>
      <c r="X163" s="235">
        <f t="shared" si="112"/>
        <v>0</v>
      </c>
      <c r="Y163" s="127"/>
      <c r="AD163" s="412"/>
      <c r="AE163" s="413"/>
      <c r="AF163" s="412"/>
      <c r="AG163" s="413"/>
      <c r="AH163" s="414"/>
    </row>
    <row r="164" spans="8:34" x14ac:dyDescent="0.25">
      <c r="H164" s="6"/>
      <c r="I164" s="20"/>
      <c r="J164" s="4" t="s">
        <v>122</v>
      </c>
      <c r="K164" s="21"/>
      <c r="L164" s="21"/>
      <c r="M164" s="21"/>
      <c r="N164" s="21"/>
      <c r="O164" s="237">
        <f t="shared" ref="O164:X164" si="113">O45</f>
        <v>0</v>
      </c>
      <c r="P164" s="237">
        <f t="shared" si="113"/>
        <v>0</v>
      </c>
      <c r="Q164" s="237">
        <f t="shared" si="113"/>
        <v>0</v>
      </c>
      <c r="R164" s="237">
        <f t="shared" si="113"/>
        <v>0</v>
      </c>
      <c r="S164" s="237">
        <f t="shared" si="113"/>
        <v>0</v>
      </c>
      <c r="T164" s="237">
        <f t="shared" ca="1" si="113"/>
        <v>-198249.99999999543</v>
      </c>
      <c r="U164" s="237">
        <f t="shared" ca="1" si="113"/>
        <v>0</v>
      </c>
      <c r="V164" s="237">
        <f t="shared" ca="1" si="113"/>
        <v>0</v>
      </c>
      <c r="W164" s="237">
        <f t="shared" ca="1" si="113"/>
        <v>0</v>
      </c>
      <c r="X164" s="238">
        <f t="shared" ca="1" si="113"/>
        <v>0</v>
      </c>
      <c r="Y164" s="127"/>
      <c r="AD164" s="412"/>
      <c r="AE164" s="413"/>
      <c r="AF164" s="412"/>
      <c r="AG164" s="413"/>
      <c r="AH164" s="414"/>
    </row>
    <row r="165" spans="8:34" x14ac:dyDescent="0.25">
      <c r="H165" s="6"/>
      <c r="I165" s="20"/>
      <c r="J165" s="309" t="s">
        <v>123</v>
      </c>
      <c r="K165" s="20"/>
      <c r="L165" s="20"/>
      <c r="M165" s="20"/>
      <c r="N165" s="234">
        <f>N157</f>
        <v>198249.99999999543</v>
      </c>
      <c r="O165" s="302">
        <f>SUM(O157:O164)</f>
        <v>237899.99999999453</v>
      </c>
      <c r="P165" s="302">
        <f t="shared" ref="P165:X165" si="114">SUM(P157:P164)</f>
        <v>285479.99999999342</v>
      </c>
      <c r="Q165" s="302">
        <f t="shared" si="114"/>
        <v>342575.99999999208</v>
      </c>
      <c r="R165" s="302">
        <f t="shared" si="114"/>
        <v>411091.19999999052</v>
      </c>
      <c r="S165" s="302">
        <f t="shared" si="114"/>
        <v>493309.43999998865</v>
      </c>
      <c r="T165" s="302">
        <f t="shared" ca="1" si="114"/>
        <v>-156227.80217265879</v>
      </c>
      <c r="U165" s="302">
        <f t="shared" ca="1" si="114"/>
        <v>0</v>
      </c>
      <c r="V165" s="302">
        <f t="shared" ca="1" si="114"/>
        <v>6.3499266451055362E-11</v>
      </c>
      <c r="W165" s="302">
        <f t="shared" ca="1" si="114"/>
        <v>7.6199119741266436E-11</v>
      </c>
      <c r="X165" s="324">
        <f t="shared" ca="1" si="114"/>
        <v>9.1438943689519729E-11</v>
      </c>
      <c r="Y165" s="127"/>
      <c r="AD165" s="412"/>
      <c r="AE165" s="413"/>
      <c r="AF165" s="412"/>
      <c r="AG165" s="413"/>
      <c r="AH165" s="414"/>
    </row>
    <row r="166" spans="8:34" x14ac:dyDescent="0.25">
      <c r="H166" s="6"/>
      <c r="I166" s="20"/>
      <c r="J166" s="2"/>
      <c r="K166" s="20"/>
      <c r="L166" s="20"/>
      <c r="M166" s="20"/>
      <c r="N166" s="20"/>
      <c r="O166" s="20"/>
      <c r="P166" s="20"/>
      <c r="Q166" s="20"/>
      <c r="R166" s="20"/>
      <c r="S166" s="20"/>
      <c r="T166" s="20"/>
      <c r="U166" s="20"/>
      <c r="V166" s="20"/>
      <c r="W166" s="20"/>
      <c r="X166" s="83"/>
      <c r="Y166" s="127"/>
      <c r="AD166" s="412"/>
      <c r="AE166" s="413"/>
      <c r="AF166" s="412"/>
      <c r="AG166" s="413"/>
      <c r="AH166" s="414"/>
    </row>
    <row r="167" spans="8:34" x14ac:dyDescent="0.25">
      <c r="H167" s="6"/>
      <c r="I167" s="20"/>
      <c r="J167" s="67" t="s">
        <v>187</v>
      </c>
      <c r="K167" s="137">
        <f ca="1">IRR(N167:X167)</f>
        <v>0.24776845074730303</v>
      </c>
      <c r="L167" s="20"/>
      <c r="M167" s="20"/>
      <c r="N167" s="329">
        <f>-N165</f>
        <v>-198249.99999999543</v>
      </c>
      <c r="O167" s="329">
        <f t="shared" ref="O167:T167" si="115">-SUM(O159:O164)+IF(O147=-O138,O139+O162,0)</f>
        <v>0</v>
      </c>
      <c r="P167" s="329">
        <f t="shared" si="115"/>
        <v>0</v>
      </c>
      <c r="Q167" s="329">
        <f t="shared" si="115"/>
        <v>0</v>
      </c>
      <c r="R167" s="329">
        <f t="shared" si="115"/>
        <v>0</v>
      </c>
      <c r="S167" s="329">
        <f t="shared" si="115"/>
        <v>0</v>
      </c>
      <c r="T167" s="329">
        <f t="shared" ca="1" si="115"/>
        <v>748199.13017264509</v>
      </c>
      <c r="U167" s="329">
        <f ca="1">-SUM(U159:U164)+IF(U147=-U138,U139+U162,0)</f>
        <v>0</v>
      </c>
      <c r="V167" s="329">
        <f t="shared" ref="V167:X167" ca="1" si="116">-SUM(V159:V164)+IF(V147=-V138,V139+V162,0)</f>
        <v>-6.3499266451055362E-11</v>
      </c>
      <c r="W167" s="329">
        <f t="shared" ca="1" si="116"/>
        <v>0</v>
      </c>
      <c r="X167" s="330">
        <f t="shared" ca="1" si="116"/>
        <v>0</v>
      </c>
      <c r="Y167" s="127"/>
      <c r="AD167" s="412"/>
      <c r="AE167" s="413"/>
      <c r="AF167" s="412"/>
      <c r="AG167" s="413"/>
      <c r="AH167" s="414"/>
    </row>
    <row r="168" spans="8:34" x14ac:dyDescent="0.25">
      <c r="H168" s="6"/>
      <c r="I168" s="20"/>
      <c r="J168" s="2"/>
      <c r="K168" s="20"/>
      <c r="L168" s="20"/>
      <c r="M168" s="20"/>
      <c r="N168" s="20"/>
      <c r="O168" s="20"/>
      <c r="P168" s="20"/>
      <c r="Q168" s="20"/>
      <c r="R168" s="20"/>
      <c r="S168" s="20"/>
      <c r="T168" s="20"/>
      <c r="U168" s="20"/>
      <c r="V168" s="20"/>
      <c r="W168" s="20"/>
      <c r="X168" s="83"/>
      <c r="Y168" s="127"/>
      <c r="AD168" s="412"/>
      <c r="AE168" s="413"/>
      <c r="AF168" s="412"/>
      <c r="AG168" s="413"/>
      <c r="AH168" s="414"/>
    </row>
    <row r="169" spans="8:34" x14ac:dyDescent="0.25">
      <c r="H169" s="6"/>
      <c r="I169" s="20"/>
      <c r="J169" s="114"/>
      <c r="K169" s="338" t="s">
        <v>54</v>
      </c>
      <c r="L169" s="338" t="s">
        <v>55</v>
      </c>
      <c r="M169" s="338" t="s">
        <v>114</v>
      </c>
      <c r="N169" s="218"/>
      <c r="O169" s="218"/>
      <c r="P169" s="218"/>
      <c r="Q169" s="218"/>
      <c r="R169" s="218"/>
      <c r="S169" s="218"/>
      <c r="T169" s="218"/>
      <c r="U169" s="218"/>
      <c r="V169" s="218"/>
      <c r="W169" s="218"/>
      <c r="X169" s="261"/>
      <c r="Y169" s="127"/>
      <c r="AD169" s="412"/>
      <c r="AE169" s="413"/>
      <c r="AF169" s="412"/>
      <c r="AG169" s="413"/>
      <c r="AH169" s="414"/>
    </row>
    <row r="170" spans="8:34" x14ac:dyDescent="0.25">
      <c r="H170" s="6"/>
      <c r="I170" s="20"/>
      <c r="J170" s="308" t="s">
        <v>165</v>
      </c>
      <c r="K170" s="303">
        <f ca="1">IRR(N170:X170)</f>
        <v>0.17060797910691416</v>
      </c>
      <c r="L170" s="304">
        <f ca="1">SUMIF(N170:X170,"&gt;0")/-SUMIF(N170:X170,"&lt;0")</f>
        <v>2.3213123818029975</v>
      </c>
      <c r="M170" s="305">
        <f ca="1">SUM(M171:M173)</f>
        <v>5239003.5938487705</v>
      </c>
      <c r="N170" s="306">
        <f>N152+N167</f>
        <v>-3964999.9999999115</v>
      </c>
      <c r="O170" s="307">
        <f t="shared" ref="O170:X170" si="117">O152+O167</f>
        <v>322320.06953694159</v>
      </c>
      <c r="P170" s="307">
        <f t="shared" si="117"/>
        <v>294661.18953694159</v>
      </c>
      <c r="Q170" s="307">
        <f t="shared" si="117"/>
        <v>263156.2691180238</v>
      </c>
      <c r="R170" s="307">
        <f t="shared" si="117"/>
        <v>338766.61332602391</v>
      </c>
      <c r="S170" s="307">
        <f t="shared" si="117"/>
        <v>406540.26786026394</v>
      </c>
      <c r="T170" s="307">
        <f t="shared" ca="1" si="117"/>
        <v>7578559.1844704859</v>
      </c>
      <c r="U170" s="307">
        <f ca="1">U152+U167</f>
        <v>0</v>
      </c>
      <c r="V170" s="307">
        <f t="shared" ca="1" si="117"/>
        <v>-5.2916055375879466E-10</v>
      </c>
      <c r="W170" s="307">
        <f t="shared" ca="1" si="117"/>
        <v>0</v>
      </c>
      <c r="X170" s="305">
        <f t="shared" ca="1" si="117"/>
        <v>0</v>
      </c>
      <c r="Y170" s="127"/>
      <c r="AD170" s="412"/>
      <c r="AE170" s="413"/>
      <c r="AF170" s="412"/>
      <c r="AG170" s="413"/>
      <c r="AH170" s="414"/>
    </row>
    <row r="171" spans="8:34" x14ac:dyDescent="0.25">
      <c r="H171" s="6"/>
      <c r="I171" s="20"/>
      <c r="J171" s="285" t="s">
        <v>125</v>
      </c>
      <c r="K171" s="293">
        <f ca="1">IRR(N171:X171)</f>
        <v>0.16493057546820244</v>
      </c>
      <c r="L171" s="289">
        <f ca="1">SUMIF(N171:X171,"&gt;0")/-SUMIF(N171:X171,"&lt;0")</f>
        <v>2.2448541749986659</v>
      </c>
      <c r="M171" s="290">
        <f ca="1">SUM(N171:X171)</f>
        <v>3948677.4430956808</v>
      </c>
      <c r="N171" s="287">
        <f>N153</f>
        <v>-3171999.9999999292</v>
      </c>
      <c r="O171" s="254">
        <f t="shared" ref="O171:X171" si="118">O153</f>
        <v>271427.42697847716</v>
      </c>
      <c r="P171" s="254">
        <f t="shared" si="118"/>
        <v>248135.73855742451</v>
      </c>
      <c r="Q171" s="254">
        <f t="shared" si="118"/>
        <v>221605.2792572832</v>
      </c>
      <c r="R171" s="254">
        <f t="shared" si="118"/>
        <v>285277.14806402015</v>
      </c>
      <c r="S171" s="254">
        <f t="shared" si="118"/>
        <v>342349.69925074861</v>
      </c>
      <c r="T171" s="254">
        <f t="shared" ca="1" si="118"/>
        <v>5751882.1509876568</v>
      </c>
      <c r="U171" s="254">
        <f t="shared" ca="1" si="118"/>
        <v>0</v>
      </c>
      <c r="V171" s="254">
        <f t="shared" ca="1" si="118"/>
        <v>-3.9213582089072783E-10</v>
      </c>
      <c r="W171" s="254">
        <f t="shared" ca="1" si="118"/>
        <v>0</v>
      </c>
      <c r="X171" s="255">
        <f t="shared" ca="1" si="118"/>
        <v>0</v>
      </c>
      <c r="Y171" s="127"/>
      <c r="AD171" s="412"/>
      <c r="AE171" s="413"/>
      <c r="AF171" s="412"/>
      <c r="AG171" s="413"/>
      <c r="AH171" s="414"/>
    </row>
    <row r="172" spans="8:34" x14ac:dyDescent="0.25">
      <c r="H172" s="6"/>
      <c r="I172" s="20"/>
      <c r="J172" s="285" t="s">
        <v>126</v>
      </c>
      <c r="K172" s="293">
        <f ca="1">IFERROR(IRR(N172:X172),"")</f>
        <v>0.16493057546820244</v>
      </c>
      <c r="L172" s="289">
        <f ca="1">IFERROR(SUMIF(N172:X172,"&gt;0")/-SUMIF(N172:X172,"&lt;0"),"")</f>
        <v>2.244854174998665</v>
      </c>
      <c r="M172" s="290">
        <f ca="1">SUM(N172:X172)</f>
        <v>740377.02058043983</v>
      </c>
      <c r="N172" s="287">
        <f t="shared" ref="N172:X172" si="119">N154</f>
        <v>-594749.99999998685</v>
      </c>
      <c r="O172" s="254">
        <f t="shared" si="119"/>
        <v>50892.642558464468</v>
      </c>
      <c r="P172" s="254">
        <f t="shared" si="119"/>
        <v>46525.450979517096</v>
      </c>
      <c r="Q172" s="254">
        <f t="shared" si="119"/>
        <v>41550.989860740607</v>
      </c>
      <c r="R172" s="254">
        <f t="shared" si="119"/>
        <v>53489.465262003781</v>
      </c>
      <c r="S172" s="254">
        <f t="shared" si="119"/>
        <v>64190.568609515358</v>
      </c>
      <c r="T172" s="254">
        <f t="shared" ca="1" si="119"/>
        <v>1078477.9033101855</v>
      </c>
      <c r="U172" s="254">
        <f t="shared" ca="1" si="119"/>
        <v>0</v>
      </c>
      <c r="V172" s="254">
        <f t="shared" ca="1" si="119"/>
        <v>-7.3525466417011471E-11</v>
      </c>
      <c r="W172" s="254">
        <f t="shared" ca="1" si="119"/>
        <v>0</v>
      </c>
      <c r="X172" s="255">
        <f t="shared" ca="1" si="119"/>
        <v>0</v>
      </c>
      <c r="Y172" s="127"/>
      <c r="AD172" s="412"/>
      <c r="AE172" s="413"/>
      <c r="AF172" s="412"/>
      <c r="AG172" s="413"/>
      <c r="AH172" s="414"/>
    </row>
    <row r="173" spans="8:34" x14ac:dyDescent="0.25">
      <c r="H173" s="6"/>
      <c r="I173" s="20"/>
      <c r="J173" s="286" t="s">
        <v>108</v>
      </c>
      <c r="K173" s="294">
        <f ca="1">IRR(N173:X173)</f>
        <v>0.24776845074730303</v>
      </c>
      <c r="L173" s="291">
        <f ca="1">SUMIF(N173:X173,"&gt;0")/-SUMIF(N173:X173,"&lt;0")</f>
        <v>3.7740183110853072</v>
      </c>
      <c r="M173" s="292">
        <f ca="1">SUM(N173:X173)</f>
        <v>549949.13017264951</v>
      </c>
      <c r="N173" s="288">
        <f>N167</f>
        <v>-198249.99999999543</v>
      </c>
      <c r="O173" s="257">
        <f t="shared" ref="O173:X173" si="120">O167</f>
        <v>0</v>
      </c>
      <c r="P173" s="257">
        <f t="shared" si="120"/>
        <v>0</v>
      </c>
      <c r="Q173" s="257">
        <f t="shared" si="120"/>
        <v>0</v>
      </c>
      <c r="R173" s="257">
        <f t="shared" si="120"/>
        <v>0</v>
      </c>
      <c r="S173" s="257">
        <f t="shared" si="120"/>
        <v>0</v>
      </c>
      <c r="T173" s="257">
        <f t="shared" ca="1" si="120"/>
        <v>748199.13017264509</v>
      </c>
      <c r="U173" s="257">
        <f t="shared" ca="1" si="120"/>
        <v>0</v>
      </c>
      <c r="V173" s="257">
        <f t="shared" ca="1" si="120"/>
        <v>-6.3499266451055362E-11</v>
      </c>
      <c r="W173" s="257">
        <f t="shared" ca="1" si="120"/>
        <v>0</v>
      </c>
      <c r="X173" s="258">
        <f t="shared" ca="1" si="120"/>
        <v>0</v>
      </c>
      <c r="Y173" s="127"/>
      <c r="AD173" s="412"/>
      <c r="AE173" s="413"/>
      <c r="AF173" s="412"/>
      <c r="AG173" s="413"/>
      <c r="AH173" s="414"/>
    </row>
    <row r="174" spans="8:34" x14ac:dyDescent="0.25">
      <c r="H174" s="6"/>
      <c r="I174" s="20"/>
      <c r="J174" s="49"/>
      <c r="K174" s="50"/>
      <c r="L174" s="50"/>
      <c r="M174" s="50"/>
      <c r="N174" s="50"/>
      <c r="O174" s="50"/>
      <c r="P174" s="50"/>
      <c r="Q174" s="50"/>
      <c r="R174" s="50"/>
      <c r="S174" s="50"/>
      <c r="T174" s="50"/>
      <c r="U174" s="50"/>
      <c r="V174" s="50"/>
      <c r="W174" s="50"/>
      <c r="X174" s="213"/>
      <c r="Y174" s="127"/>
      <c r="AB174" s="414">
        <f ca="1">U131-U175</f>
        <v>0</v>
      </c>
      <c r="AD174" s="412"/>
      <c r="AE174" s="413"/>
      <c r="AF174" s="412"/>
      <c r="AG174" s="413"/>
      <c r="AH174" s="414"/>
    </row>
    <row r="175" spans="8:34" x14ac:dyDescent="0.25">
      <c r="H175" s="6"/>
      <c r="I175" s="20"/>
      <c r="J175" s="67" t="s">
        <v>132</v>
      </c>
      <c r="K175" s="20"/>
      <c r="L175" s="20"/>
      <c r="M175" s="20"/>
      <c r="N175" s="231">
        <f t="shared" ref="N175:X175" si="121">IF(N131=0,0,SUM(N26,-N170))</f>
        <v>0</v>
      </c>
      <c r="O175" s="231">
        <f t="shared" si="121"/>
        <v>0</v>
      </c>
      <c r="P175" s="231">
        <f t="shared" si="121"/>
        <v>0</v>
      </c>
      <c r="Q175" s="231">
        <f t="shared" si="121"/>
        <v>0</v>
      </c>
      <c r="R175" s="231">
        <f t="shared" si="121"/>
        <v>0</v>
      </c>
      <c r="S175" s="231">
        <f t="shared" si="121"/>
        <v>0</v>
      </c>
      <c r="T175" s="231">
        <f t="shared" ca="1" si="121"/>
        <v>9.3132257461547852E-10</v>
      </c>
      <c r="U175" s="231">
        <f t="shared" ca="1" si="121"/>
        <v>0</v>
      </c>
      <c r="V175" s="231">
        <f t="shared" ca="1" si="121"/>
        <v>0</v>
      </c>
      <c r="W175" s="231">
        <f t="shared" ca="1" si="121"/>
        <v>0</v>
      </c>
      <c r="X175" s="232">
        <f t="shared" ca="1" si="121"/>
        <v>0</v>
      </c>
      <c r="Y175" s="127"/>
      <c r="AD175" s="412"/>
      <c r="AE175" s="413"/>
      <c r="AF175" s="412"/>
      <c r="AG175" s="413"/>
      <c r="AH175" s="414"/>
    </row>
    <row r="176" spans="8:34" x14ac:dyDescent="0.25">
      <c r="H176" s="6"/>
      <c r="I176" s="20"/>
      <c r="J176" s="4"/>
      <c r="K176" s="21"/>
      <c r="L176" s="21"/>
      <c r="M176" s="21"/>
      <c r="N176" s="21"/>
      <c r="O176" s="21"/>
      <c r="P176" s="21"/>
      <c r="Q176" s="21"/>
      <c r="R176" s="21"/>
      <c r="S176" s="21"/>
      <c r="T176" s="21"/>
      <c r="U176" s="21"/>
      <c r="V176" s="21"/>
      <c r="W176" s="21"/>
      <c r="X176" s="217"/>
      <c r="Y176" s="127"/>
      <c r="AD176" s="412"/>
      <c r="AE176" s="413"/>
      <c r="AF176" s="412"/>
      <c r="AG176" s="413"/>
      <c r="AH176" s="414"/>
    </row>
    <row r="177" spans="8:34" x14ac:dyDescent="0.25">
      <c r="H177" s="6"/>
      <c r="I177" s="20"/>
      <c r="J177" s="447" t="str">
        <f ca="1">IF(ROUND(SUM(N175:X175),2)=0,"NO MORE CASH TO DISTRIBUTE","")</f>
        <v>NO MORE CASH TO DISTRIBUTE</v>
      </c>
      <c r="K177" s="448"/>
      <c r="L177" s="448"/>
      <c r="M177" s="448"/>
      <c r="N177" s="448"/>
      <c r="O177" s="448"/>
      <c r="P177" s="448"/>
      <c r="Q177" s="448"/>
      <c r="R177" s="448"/>
      <c r="S177" s="448"/>
      <c r="T177" s="448"/>
      <c r="U177" s="448"/>
      <c r="V177" s="448"/>
      <c r="W177" s="448"/>
      <c r="X177" s="449"/>
      <c r="Y177" s="127"/>
      <c r="AD177" s="412"/>
      <c r="AE177" s="413"/>
      <c r="AF177" s="412"/>
      <c r="AG177" s="413"/>
      <c r="AH177" s="414"/>
    </row>
    <row r="178" spans="8:34" x14ac:dyDescent="0.25">
      <c r="H178" s="6"/>
      <c r="I178" s="20"/>
      <c r="J178" s="450"/>
      <c r="K178" s="451"/>
      <c r="L178" s="451"/>
      <c r="M178" s="451"/>
      <c r="N178" s="451"/>
      <c r="O178" s="451"/>
      <c r="P178" s="451"/>
      <c r="Q178" s="451"/>
      <c r="R178" s="451"/>
      <c r="S178" s="451"/>
      <c r="T178" s="451"/>
      <c r="U178" s="451"/>
      <c r="V178" s="451"/>
      <c r="W178" s="451"/>
      <c r="X178" s="452"/>
      <c r="Y178" s="127"/>
      <c r="AD178" s="412"/>
      <c r="AE178" s="413"/>
      <c r="AF178" s="412"/>
      <c r="AG178" s="413"/>
      <c r="AH178" s="414"/>
    </row>
    <row r="179" spans="8:34" x14ac:dyDescent="0.25">
      <c r="H179" s="6"/>
      <c r="I179" s="20"/>
      <c r="J179" s="317" t="s">
        <v>163</v>
      </c>
      <c r="K179" s="319"/>
      <c r="L179" s="319"/>
      <c r="M179" s="319"/>
      <c r="N179" s="319"/>
      <c r="O179" s="319"/>
      <c r="P179" s="319"/>
      <c r="Q179" s="319"/>
      <c r="R179" s="319"/>
      <c r="S179" s="319"/>
      <c r="T179" s="319"/>
      <c r="U179" s="319"/>
      <c r="V179" s="319"/>
      <c r="W179" s="319"/>
      <c r="X179" s="318"/>
      <c r="Y179" s="127"/>
      <c r="AD179" s="412"/>
      <c r="AE179" s="413"/>
      <c r="AF179" s="412"/>
      <c r="AG179" s="413"/>
      <c r="AH179" s="414"/>
    </row>
    <row r="180" spans="8:34" x14ac:dyDescent="0.25">
      <c r="H180" s="6"/>
      <c r="I180" s="20"/>
      <c r="J180" s="18"/>
      <c r="K180" s="315"/>
      <c r="L180" s="315"/>
      <c r="M180" s="315"/>
      <c r="N180" s="315">
        <v>0</v>
      </c>
      <c r="O180" s="315">
        <v>1</v>
      </c>
      <c r="P180" s="315">
        <v>2</v>
      </c>
      <c r="Q180" s="315">
        <v>3</v>
      </c>
      <c r="R180" s="315">
        <v>4</v>
      </c>
      <c r="S180" s="315">
        <v>5</v>
      </c>
      <c r="T180" s="315">
        <v>6</v>
      </c>
      <c r="U180" s="315">
        <v>7</v>
      </c>
      <c r="V180" s="315">
        <v>8</v>
      </c>
      <c r="W180" s="315">
        <v>9</v>
      </c>
      <c r="X180" s="316">
        <v>10</v>
      </c>
      <c r="Y180" s="393"/>
      <c r="Z180" s="407"/>
      <c r="AA180" s="407"/>
      <c r="AD180" s="412"/>
      <c r="AE180" s="413"/>
      <c r="AF180" s="412"/>
      <c r="AG180" s="413"/>
      <c r="AH180" s="414"/>
    </row>
    <row r="181" spans="8:34" x14ac:dyDescent="0.25">
      <c r="H181" s="6"/>
      <c r="I181" s="20"/>
      <c r="J181" s="2"/>
      <c r="K181" s="20"/>
      <c r="L181" s="20"/>
      <c r="M181" s="20"/>
      <c r="N181" s="20"/>
      <c r="O181" s="20"/>
      <c r="P181" s="20"/>
      <c r="Q181" s="20"/>
      <c r="R181" s="20"/>
      <c r="S181" s="20"/>
      <c r="T181" s="20"/>
      <c r="U181" s="20"/>
      <c r="V181" s="20"/>
      <c r="W181" s="20"/>
      <c r="X181" s="83"/>
      <c r="Y181" s="127"/>
      <c r="AD181" s="412"/>
      <c r="AE181" s="413"/>
      <c r="AF181" s="412"/>
      <c r="AG181" s="413"/>
      <c r="AH181" s="414"/>
    </row>
    <row r="182" spans="8:34" x14ac:dyDescent="0.25">
      <c r="H182" s="6"/>
      <c r="I182" s="20"/>
      <c r="J182" s="2" t="s">
        <v>154</v>
      </c>
      <c r="K182" s="20"/>
      <c r="L182" s="20"/>
      <c r="M182" s="20"/>
      <c r="N182" s="234">
        <f t="shared" ref="N182:X182" si="122">N$175*$D58</f>
        <v>0</v>
      </c>
      <c r="O182" s="234">
        <f t="shared" si="122"/>
        <v>0</v>
      </c>
      <c r="P182" s="234">
        <f t="shared" si="122"/>
        <v>0</v>
      </c>
      <c r="Q182" s="234">
        <f t="shared" si="122"/>
        <v>0</v>
      </c>
      <c r="R182" s="234">
        <f t="shared" si="122"/>
        <v>0</v>
      </c>
      <c r="S182" s="234">
        <f t="shared" si="122"/>
        <v>0</v>
      </c>
      <c r="T182" s="234">
        <f t="shared" ca="1" si="122"/>
        <v>7.6368451118469244E-10</v>
      </c>
      <c r="U182" s="234">
        <f t="shared" ca="1" si="122"/>
        <v>0</v>
      </c>
      <c r="V182" s="234">
        <f t="shared" ca="1" si="122"/>
        <v>0</v>
      </c>
      <c r="W182" s="234">
        <f t="shared" ca="1" si="122"/>
        <v>0</v>
      </c>
      <c r="X182" s="235">
        <f t="shared" ca="1" si="122"/>
        <v>0</v>
      </c>
      <c r="Y182" s="127"/>
      <c r="AD182" s="412"/>
      <c r="AE182" s="413"/>
      <c r="AF182" s="412"/>
      <c r="AG182" s="413"/>
      <c r="AH182" s="414"/>
    </row>
    <row r="183" spans="8:34" x14ac:dyDescent="0.25">
      <c r="H183" s="6"/>
      <c r="I183" s="20"/>
      <c r="J183" s="2" t="s">
        <v>184</v>
      </c>
      <c r="K183" s="20"/>
      <c r="L183" s="20"/>
      <c r="M183" s="20"/>
      <c r="N183" s="234">
        <f t="shared" ref="N183:X183" si="123">N$175*$D57</f>
        <v>0</v>
      </c>
      <c r="O183" s="234">
        <f t="shared" si="123"/>
        <v>0</v>
      </c>
      <c r="P183" s="234">
        <f t="shared" si="123"/>
        <v>0</v>
      </c>
      <c r="Q183" s="234">
        <f t="shared" si="123"/>
        <v>0</v>
      </c>
      <c r="R183" s="234">
        <f t="shared" si="123"/>
        <v>0</v>
      </c>
      <c r="S183" s="234">
        <f t="shared" si="123"/>
        <v>0</v>
      </c>
      <c r="T183" s="234">
        <f t="shared" ca="1" si="123"/>
        <v>1.6763806343078613E-10</v>
      </c>
      <c r="U183" s="234">
        <f t="shared" ca="1" si="123"/>
        <v>0</v>
      </c>
      <c r="V183" s="234">
        <f t="shared" ca="1" si="123"/>
        <v>0</v>
      </c>
      <c r="W183" s="234">
        <f t="shared" ca="1" si="123"/>
        <v>0</v>
      </c>
      <c r="X183" s="235">
        <f t="shared" ca="1" si="123"/>
        <v>0</v>
      </c>
      <c r="Y183" s="127"/>
      <c r="AD183" s="412"/>
      <c r="AE183" s="413"/>
      <c r="AF183" s="412"/>
      <c r="AG183" s="413"/>
      <c r="AH183" s="414"/>
    </row>
    <row r="184" spans="8:34" x14ac:dyDescent="0.25">
      <c r="H184" s="6"/>
      <c r="I184" s="20"/>
      <c r="J184" s="2"/>
      <c r="K184" s="20"/>
      <c r="L184" s="20"/>
      <c r="M184" s="20"/>
      <c r="N184" s="20"/>
      <c r="O184" s="20"/>
      <c r="P184" s="20"/>
      <c r="Q184" s="20"/>
      <c r="R184" s="20"/>
      <c r="S184" s="20"/>
      <c r="T184" s="20"/>
      <c r="U184" s="20"/>
      <c r="V184" s="20"/>
      <c r="W184" s="20"/>
      <c r="X184" s="83"/>
      <c r="Y184" s="127"/>
      <c r="AD184" s="412"/>
      <c r="AE184" s="413"/>
      <c r="AF184" s="412"/>
      <c r="AG184" s="413"/>
      <c r="AH184" s="414"/>
    </row>
    <row r="185" spans="8:34" x14ac:dyDescent="0.25">
      <c r="H185" s="6"/>
      <c r="I185" s="20"/>
      <c r="J185" s="67" t="s">
        <v>168</v>
      </c>
      <c r="K185" s="23">
        <f ca="1">IRR(N185:X185)</f>
        <v>0.16493057546820222</v>
      </c>
      <c r="L185" s="69"/>
      <c r="M185" s="69"/>
      <c r="N185" s="231">
        <f>N182+N152</f>
        <v>-3766749.9999999162</v>
      </c>
      <c r="O185" s="231">
        <f t="shared" ref="O185:X185" si="124">O182+O152</f>
        <v>322320.06953694159</v>
      </c>
      <c r="P185" s="231">
        <f t="shared" si="124"/>
        <v>294661.18953694159</v>
      </c>
      <c r="Q185" s="231">
        <f t="shared" si="124"/>
        <v>263156.2691180238</v>
      </c>
      <c r="R185" s="231">
        <f t="shared" si="124"/>
        <v>338766.61332602391</v>
      </c>
      <c r="S185" s="231">
        <f t="shared" si="124"/>
        <v>406540.26786026394</v>
      </c>
      <c r="T185" s="231">
        <f t="shared" ca="1" si="124"/>
        <v>6830360.0542978421</v>
      </c>
      <c r="U185" s="231">
        <f t="shared" ca="1" si="124"/>
        <v>0</v>
      </c>
      <c r="V185" s="231">
        <f t="shared" ca="1" si="124"/>
        <v>-4.6566128730773926E-10</v>
      </c>
      <c r="W185" s="231">
        <f t="shared" ca="1" si="124"/>
        <v>0</v>
      </c>
      <c r="X185" s="232">
        <f t="shared" ca="1" si="124"/>
        <v>0</v>
      </c>
      <c r="Y185" s="127"/>
      <c r="AD185" s="412"/>
      <c r="AE185" s="413"/>
      <c r="AF185" s="412"/>
      <c r="AG185" s="413"/>
      <c r="AH185" s="414"/>
    </row>
    <row r="186" spans="8:34" x14ac:dyDescent="0.25">
      <c r="H186" s="6"/>
      <c r="I186" s="20"/>
      <c r="J186" s="67" t="s">
        <v>188</v>
      </c>
      <c r="K186" s="23">
        <f ca="1">IRR(N186:X186)</f>
        <v>0.24776845074730303</v>
      </c>
      <c r="L186" s="69"/>
      <c r="M186" s="69"/>
      <c r="N186" s="329">
        <f>N167+N183</f>
        <v>-198249.99999999543</v>
      </c>
      <c r="O186" s="329">
        <f t="shared" ref="O186:X186" si="125">O167+O183</f>
        <v>0</v>
      </c>
      <c r="P186" s="329">
        <f t="shared" si="125"/>
        <v>0</v>
      </c>
      <c r="Q186" s="329">
        <f t="shared" si="125"/>
        <v>0</v>
      </c>
      <c r="R186" s="329">
        <f t="shared" si="125"/>
        <v>0</v>
      </c>
      <c r="S186" s="329">
        <f t="shared" si="125"/>
        <v>0</v>
      </c>
      <c r="T186" s="329">
        <f t="shared" ca="1" si="125"/>
        <v>748199.13017264521</v>
      </c>
      <c r="U186" s="329">
        <f t="shared" ca="1" si="125"/>
        <v>0</v>
      </c>
      <c r="V186" s="329">
        <f t="shared" ca="1" si="125"/>
        <v>-6.3499266451055362E-11</v>
      </c>
      <c r="W186" s="329">
        <f t="shared" ca="1" si="125"/>
        <v>0</v>
      </c>
      <c r="X186" s="330">
        <f t="shared" ca="1" si="125"/>
        <v>0</v>
      </c>
      <c r="Y186" s="127"/>
      <c r="AD186" s="412"/>
      <c r="AE186" s="413"/>
      <c r="AF186" s="412"/>
      <c r="AG186" s="413"/>
      <c r="AH186" s="414"/>
    </row>
    <row r="187" spans="8:34" x14ac:dyDescent="0.25">
      <c r="H187" s="6"/>
      <c r="I187" s="20"/>
      <c r="J187" s="4"/>
      <c r="K187" s="21"/>
      <c r="L187" s="21"/>
      <c r="M187" s="21"/>
      <c r="N187" s="21"/>
      <c r="O187" s="21"/>
      <c r="P187" s="21"/>
      <c r="Q187" s="21"/>
      <c r="R187" s="21"/>
      <c r="S187" s="21"/>
      <c r="T187" s="21"/>
      <c r="U187" s="21"/>
      <c r="V187" s="21"/>
      <c r="W187" s="21"/>
      <c r="X187" s="217"/>
      <c r="Y187" s="127"/>
      <c r="AD187" s="412"/>
      <c r="AE187" s="413"/>
      <c r="AF187" s="412"/>
      <c r="AG187" s="413"/>
      <c r="AH187" s="414"/>
    </row>
    <row r="188" spans="8:34" x14ac:dyDescent="0.25">
      <c r="H188" s="6"/>
      <c r="I188" s="20"/>
      <c r="J188" s="4"/>
      <c r="K188" s="338" t="s">
        <v>54</v>
      </c>
      <c r="L188" s="338" t="s">
        <v>55</v>
      </c>
      <c r="M188" s="338" t="s">
        <v>114</v>
      </c>
      <c r="N188" s="21"/>
      <c r="O188" s="21"/>
      <c r="P188" s="21"/>
      <c r="Q188" s="21"/>
      <c r="R188" s="21"/>
      <c r="S188" s="21"/>
      <c r="T188" s="21"/>
      <c r="U188" s="21"/>
      <c r="V188" s="21"/>
      <c r="W188" s="21"/>
      <c r="X188" s="217"/>
      <c r="Y188" s="127"/>
      <c r="AD188" s="412"/>
      <c r="AE188" s="413"/>
      <c r="AF188" s="412"/>
      <c r="AG188" s="413"/>
      <c r="AH188" s="414"/>
    </row>
    <row r="189" spans="8:34" x14ac:dyDescent="0.25">
      <c r="H189" s="6"/>
      <c r="I189" s="20"/>
      <c r="J189" s="308" t="s">
        <v>167</v>
      </c>
      <c r="K189" s="303">
        <f ca="1">IRR(N189:X189)</f>
        <v>0.17060797910691439</v>
      </c>
      <c r="L189" s="304">
        <f ca="1">SUMIF(N189:X189,"&gt;0")/-SUMIF(N189:X189,"&lt;0")</f>
        <v>2.3213123818029979</v>
      </c>
      <c r="M189" s="305">
        <f ca="1">SUM(M190:M192)</f>
        <v>5239003.5938487696</v>
      </c>
      <c r="N189" s="306">
        <f>SUM(N185:N186)</f>
        <v>-3964999.9999999115</v>
      </c>
      <c r="O189" s="307">
        <f t="shared" ref="O189:X189" si="126">SUM(O185:O186)</f>
        <v>322320.06953694159</v>
      </c>
      <c r="P189" s="307">
        <f t="shared" si="126"/>
        <v>294661.18953694159</v>
      </c>
      <c r="Q189" s="307">
        <f t="shared" si="126"/>
        <v>263156.2691180238</v>
      </c>
      <c r="R189" s="307">
        <f t="shared" si="126"/>
        <v>338766.61332602391</v>
      </c>
      <c r="S189" s="307">
        <f t="shared" si="126"/>
        <v>406540.26786026394</v>
      </c>
      <c r="T189" s="307">
        <f t="shared" ca="1" si="126"/>
        <v>7578559.1844704878</v>
      </c>
      <c r="U189" s="307">
        <f t="shared" ca="1" si="126"/>
        <v>0</v>
      </c>
      <c r="V189" s="307">
        <f t="shared" ca="1" si="126"/>
        <v>-5.2916055375879466E-10</v>
      </c>
      <c r="W189" s="307">
        <f t="shared" ca="1" si="126"/>
        <v>0</v>
      </c>
      <c r="X189" s="305">
        <f t="shared" ca="1" si="126"/>
        <v>0</v>
      </c>
      <c r="Y189" s="127"/>
      <c r="AD189" s="412"/>
      <c r="AE189" s="413"/>
      <c r="AF189" s="412"/>
      <c r="AG189" s="413"/>
      <c r="AH189" s="414"/>
    </row>
    <row r="190" spans="8:34" x14ac:dyDescent="0.25">
      <c r="H190" s="6"/>
      <c r="I190" s="20"/>
      <c r="J190" s="285" t="s">
        <v>125</v>
      </c>
      <c r="K190" s="293">
        <f ca="1">IRR(N190:X190)</f>
        <v>0.16493057546820244</v>
      </c>
      <c r="L190" s="289">
        <f ca="1">SUMIF(N190:X190,"&gt;0")/-SUMIF(N190:X190,"&lt;0")</f>
        <v>2.2448541749986659</v>
      </c>
      <c r="M190" s="290">
        <f ca="1">SUM(N190:X190)</f>
        <v>3948677.4430956808</v>
      </c>
      <c r="N190" s="287">
        <f t="shared" ref="N190:X190" si="127">N$185*$D59/$D$58</f>
        <v>-3171999.9999999292</v>
      </c>
      <c r="O190" s="254">
        <f t="shared" si="127"/>
        <v>271427.42697847716</v>
      </c>
      <c r="P190" s="254">
        <f t="shared" si="127"/>
        <v>248135.73855742448</v>
      </c>
      <c r="Q190" s="254">
        <f t="shared" si="127"/>
        <v>221605.27925728323</v>
      </c>
      <c r="R190" s="254">
        <f t="shared" si="127"/>
        <v>285277.14806402015</v>
      </c>
      <c r="S190" s="254">
        <f t="shared" si="127"/>
        <v>342349.69925074856</v>
      </c>
      <c r="T190" s="254">
        <f t="shared" ca="1" si="127"/>
        <v>5751882.1509876568</v>
      </c>
      <c r="U190" s="254">
        <f t="shared" ca="1" si="127"/>
        <v>0</v>
      </c>
      <c r="V190" s="254">
        <f t="shared" ca="1" si="127"/>
        <v>-3.9213582089072783E-10</v>
      </c>
      <c r="W190" s="254">
        <f t="shared" ca="1" si="127"/>
        <v>0</v>
      </c>
      <c r="X190" s="255">
        <f t="shared" ca="1" si="127"/>
        <v>0</v>
      </c>
      <c r="Y190" s="127"/>
      <c r="AD190" s="412"/>
      <c r="AE190" s="413"/>
      <c r="AF190" s="412"/>
      <c r="AG190" s="413"/>
      <c r="AH190" s="414"/>
    </row>
    <row r="191" spans="8:34" x14ac:dyDescent="0.25">
      <c r="H191" s="6"/>
      <c r="I191" s="20"/>
      <c r="J191" s="285" t="s">
        <v>126</v>
      </c>
      <c r="K191" s="293">
        <f ca="1">IFERROR(IRR(N191:X191),"")</f>
        <v>0.16493057546820222</v>
      </c>
      <c r="L191" s="289">
        <f ca="1">IFERROR(SUMIF(N191:X191,"&gt;0")/-SUMIF(N191:X191,"&lt;0"),"")</f>
        <v>2.2448541749986655</v>
      </c>
      <c r="M191" s="290">
        <f ca="1">SUM(N191:X191)</f>
        <v>740377.02058043971</v>
      </c>
      <c r="N191" s="287">
        <f t="shared" ref="N191:X191" si="128">N$185*$D60/$D$58</f>
        <v>-594749.99999998661</v>
      </c>
      <c r="O191" s="254">
        <f t="shared" si="128"/>
        <v>50892.642558464453</v>
      </c>
      <c r="P191" s="254">
        <f t="shared" si="128"/>
        <v>46525.450979517082</v>
      </c>
      <c r="Q191" s="254">
        <f t="shared" si="128"/>
        <v>41550.989860740592</v>
      </c>
      <c r="R191" s="254">
        <f t="shared" si="128"/>
        <v>53489.465262003767</v>
      </c>
      <c r="S191" s="254">
        <f t="shared" si="128"/>
        <v>64190.568609515343</v>
      </c>
      <c r="T191" s="254">
        <f t="shared" ca="1" si="128"/>
        <v>1078477.9033101853</v>
      </c>
      <c r="U191" s="254">
        <f t="shared" ca="1" si="128"/>
        <v>0</v>
      </c>
      <c r="V191" s="254">
        <f t="shared" ca="1" si="128"/>
        <v>-7.3525466417011445E-11</v>
      </c>
      <c r="W191" s="254">
        <f t="shared" ca="1" si="128"/>
        <v>0</v>
      </c>
      <c r="X191" s="255">
        <f t="shared" ca="1" si="128"/>
        <v>0</v>
      </c>
      <c r="Y191" s="127"/>
      <c r="AD191" s="412"/>
      <c r="AE191" s="413"/>
      <c r="AF191" s="412"/>
      <c r="AG191" s="413"/>
      <c r="AH191" s="414"/>
    </row>
    <row r="192" spans="8:34" x14ac:dyDescent="0.25">
      <c r="H192" s="6"/>
      <c r="I192" s="20"/>
      <c r="J192" s="286" t="s">
        <v>108</v>
      </c>
      <c r="K192" s="294">
        <f ca="1">IRR(N192:X192)</f>
        <v>0.24776845074730303</v>
      </c>
      <c r="L192" s="291">
        <f ca="1">SUMIF(N192:X192,"&gt;0")/-SUMIF(N192:X192,"&lt;0")</f>
        <v>3.7740183110853076</v>
      </c>
      <c r="M192" s="292">
        <f ca="1">SUM(N192:X192)</f>
        <v>549949.13017264963</v>
      </c>
      <c r="N192" s="288">
        <f>N186</f>
        <v>-198249.99999999543</v>
      </c>
      <c r="O192" s="257">
        <f t="shared" ref="O192:X192" si="129">O186</f>
        <v>0</v>
      </c>
      <c r="P192" s="257">
        <f t="shared" si="129"/>
        <v>0</v>
      </c>
      <c r="Q192" s="257">
        <f t="shared" si="129"/>
        <v>0</v>
      </c>
      <c r="R192" s="257">
        <f t="shared" si="129"/>
        <v>0</v>
      </c>
      <c r="S192" s="257">
        <f t="shared" si="129"/>
        <v>0</v>
      </c>
      <c r="T192" s="257">
        <f t="shared" ca="1" si="129"/>
        <v>748199.13017264521</v>
      </c>
      <c r="U192" s="257">
        <f t="shared" ca="1" si="129"/>
        <v>0</v>
      </c>
      <c r="V192" s="257">
        <f t="shared" ca="1" si="129"/>
        <v>-6.3499266451055362E-11</v>
      </c>
      <c r="W192" s="257">
        <f t="shared" ca="1" si="129"/>
        <v>0</v>
      </c>
      <c r="X192" s="258">
        <f t="shared" ca="1" si="129"/>
        <v>0</v>
      </c>
      <c r="Y192" s="127"/>
      <c r="AD192" s="412"/>
      <c r="AE192" s="413"/>
      <c r="AF192" s="412"/>
      <c r="AG192" s="413"/>
      <c r="AH192" s="414"/>
    </row>
    <row r="193" spans="8:34" ht="15.75" thickBot="1" x14ac:dyDescent="0.3">
      <c r="H193" s="7"/>
      <c r="I193" s="129"/>
      <c r="J193" s="129"/>
      <c r="K193" s="129"/>
      <c r="L193" s="129"/>
      <c r="M193" s="129"/>
      <c r="N193" s="129"/>
      <c r="O193" s="129"/>
      <c r="P193" s="129"/>
      <c r="Q193" s="129"/>
      <c r="R193" s="129"/>
      <c r="S193" s="129"/>
      <c r="T193" s="129"/>
      <c r="U193" s="129"/>
      <c r="V193" s="129"/>
      <c r="W193" s="129"/>
      <c r="X193" s="129"/>
      <c r="Y193" s="131"/>
      <c r="AD193" s="412"/>
      <c r="AE193" s="413"/>
      <c r="AF193" s="412"/>
      <c r="AG193" s="413"/>
      <c r="AH193" s="414"/>
    </row>
    <row r="194" spans="8:34" x14ac:dyDescent="0.25">
      <c r="AD194" s="412"/>
      <c r="AE194" s="413"/>
      <c r="AF194" s="412"/>
      <c r="AG194" s="413"/>
      <c r="AH194" s="414"/>
    </row>
    <row r="195" spans="8:34" x14ac:dyDescent="0.25">
      <c r="AD195" s="412"/>
      <c r="AE195" s="413"/>
      <c r="AF195" s="412"/>
      <c r="AG195" s="413"/>
      <c r="AH195" s="414"/>
    </row>
    <row r="196" spans="8:34" x14ac:dyDescent="0.25">
      <c r="AD196" s="412"/>
      <c r="AE196" s="413"/>
      <c r="AF196" s="412"/>
      <c r="AG196" s="413"/>
      <c r="AH196" s="414"/>
    </row>
    <row r="197" spans="8:34" x14ac:dyDescent="0.25">
      <c r="AD197" s="412"/>
      <c r="AE197" s="413"/>
      <c r="AF197" s="412"/>
      <c r="AG197" s="413"/>
      <c r="AH197" s="414"/>
    </row>
    <row r="198" spans="8:34" x14ac:dyDescent="0.25">
      <c r="AD198" s="412"/>
      <c r="AE198" s="413"/>
      <c r="AF198" s="412"/>
      <c r="AG198" s="413"/>
      <c r="AH198" s="414"/>
    </row>
    <row r="199" spans="8:34" x14ac:dyDescent="0.25">
      <c r="AD199" s="412"/>
      <c r="AE199" s="413"/>
      <c r="AF199" s="412"/>
      <c r="AG199" s="413"/>
      <c r="AH199" s="414"/>
    </row>
    <row r="200" spans="8:34" x14ac:dyDescent="0.25">
      <c r="AD200" s="412"/>
      <c r="AE200" s="413"/>
      <c r="AF200" s="412"/>
      <c r="AG200" s="413"/>
      <c r="AH200" s="414"/>
    </row>
    <row r="201" spans="8:34" x14ac:dyDescent="0.25">
      <c r="AD201" s="412"/>
      <c r="AE201" s="413"/>
      <c r="AF201" s="412"/>
      <c r="AG201" s="413"/>
      <c r="AH201" s="414"/>
    </row>
    <row r="202" spans="8:34" x14ac:dyDescent="0.25">
      <c r="AD202" s="412"/>
      <c r="AE202" s="413"/>
      <c r="AF202" s="412"/>
      <c r="AG202" s="413"/>
      <c r="AH202" s="414"/>
    </row>
    <row r="203" spans="8:34" x14ac:dyDescent="0.25">
      <c r="AD203" s="412"/>
      <c r="AE203" s="413"/>
      <c r="AF203" s="412"/>
      <c r="AG203" s="413"/>
      <c r="AH203" s="414"/>
    </row>
    <row r="204" spans="8:34" x14ac:dyDescent="0.25">
      <c r="AD204" s="412"/>
      <c r="AE204" s="413"/>
      <c r="AF204" s="412"/>
      <c r="AG204" s="413"/>
      <c r="AH204" s="414"/>
    </row>
    <row r="205" spans="8:34" x14ac:dyDescent="0.25">
      <c r="AD205" s="412"/>
      <c r="AE205" s="413"/>
      <c r="AF205" s="412"/>
      <c r="AG205" s="413"/>
      <c r="AH205" s="414"/>
    </row>
    <row r="206" spans="8:34" x14ac:dyDescent="0.25">
      <c r="AD206" s="412"/>
      <c r="AE206" s="413"/>
      <c r="AF206" s="412"/>
      <c r="AG206" s="413"/>
      <c r="AH206" s="414"/>
    </row>
    <row r="207" spans="8:34" x14ac:dyDescent="0.25">
      <c r="AD207" s="412"/>
      <c r="AE207" s="413"/>
      <c r="AF207" s="412"/>
      <c r="AG207" s="413"/>
      <c r="AH207" s="414"/>
    </row>
    <row r="208" spans="8:34" x14ac:dyDescent="0.25">
      <c r="AD208" s="412"/>
      <c r="AE208" s="413"/>
      <c r="AF208" s="412"/>
      <c r="AG208" s="413"/>
      <c r="AH208" s="414"/>
    </row>
    <row r="209" spans="30:34" x14ac:dyDescent="0.25">
      <c r="AD209" s="412"/>
      <c r="AE209" s="413"/>
      <c r="AF209" s="412"/>
      <c r="AG209" s="413"/>
      <c r="AH209" s="414"/>
    </row>
    <row r="210" spans="30:34" x14ac:dyDescent="0.25">
      <c r="AD210" s="412"/>
      <c r="AE210" s="413"/>
      <c r="AF210" s="412"/>
      <c r="AG210" s="413"/>
      <c r="AH210" s="414"/>
    </row>
    <row r="211" spans="30:34" x14ac:dyDescent="0.25">
      <c r="AD211" s="412"/>
      <c r="AE211" s="413"/>
      <c r="AF211" s="412"/>
      <c r="AG211" s="413"/>
      <c r="AH211" s="414"/>
    </row>
    <row r="212" spans="30:34" x14ac:dyDescent="0.25">
      <c r="AD212" s="412"/>
      <c r="AE212" s="413"/>
      <c r="AF212" s="412"/>
      <c r="AG212" s="413"/>
      <c r="AH212" s="414"/>
    </row>
    <row r="213" spans="30:34" x14ac:dyDescent="0.25">
      <c r="AD213" s="412"/>
      <c r="AE213" s="413"/>
      <c r="AF213" s="412"/>
      <c r="AG213" s="413"/>
      <c r="AH213" s="414"/>
    </row>
    <row r="214" spans="30:34" x14ac:dyDescent="0.25">
      <c r="AD214" s="412"/>
      <c r="AE214" s="413"/>
      <c r="AF214" s="412"/>
      <c r="AG214" s="413"/>
      <c r="AH214" s="414"/>
    </row>
    <row r="215" spans="30:34" x14ac:dyDescent="0.25">
      <c r="AD215" s="412"/>
      <c r="AE215" s="413"/>
      <c r="AF215" s="412"/>
      <c r="AG215" s="413"/>
      <c r="AH215" s="414"/>
    </row>
    <row r="216" spans="30:34" x14ac:dyDescent="0.25">
      <c r="AD216" s="412"/>
      <c r="AE216" s="413"/>
      <c r="AF216" s="412"/>
      <c r="AG216" s="413"/>
      <c r="AH216" s="414"/>
    </row>
    <row r="217" spans="30:34" x14ac:dyDescent="0.25">
      <c r="AD217" s="412"/>
      <c r="AE217" s="413"/>
      <c r="AF217" s="412"/>
      <c r="AG217" s="413"/>
      <c r="AH217" s="414"/>
    </row>
    <row r="218" spans="30:34" x14ac:dyDescent="0.25">
      <c r="AD218" s="412"/>
      <c r="AE218" s="413"/>
      <c r="AF218" s="412"/>
      <c r="AG218" s="413"/>
      <c r="AH218" s="414"/>
    </row>
    <row r="219" spans="30:34" x14ac:dyDescent="0.25">
      <c r="AD219" s="412"/>
      <c r="AE219" s="413"/>
      <c r="AF219" s="412"/>
      <c r="AG219" s="413"/>
      <c r="AH219" s="414"/>
    </row>
    <row r="220" spans="30:34" x14ac:dyDescent="0.25">
      <c r="AD220" s="412"/>
      <c r="AE220" s="413"/>
      <c r="AF220" s="412"/>
      <c r="AG220" s="413"/>
      <c r="AH220" s="414"/>
    </row>
    <row r="221" spans="30:34" x14ac:dyDescent="0.25">
      <c r="AD221" s="412"/>
      <c r="AE221" s="413"/>
      <c r="AF221" s="412"/>
      <c r="AG221" s="413"/>
      <c r="AH221" s="414"/>
    </row>
    <row r="222" spans="30:34" x14ac:dyDescent="0.25">
      <c r="AD222" s="412"/>
      <c r="AE222" s="413"/>
      <c r="AF222" s="412"/>
      <c r="AG222" s="413"/>
      <c r="AH222" s="414"/>
    </row>
    <row r="223" spans="30:34" x14ac:dyDescent="0.25">
      <c r="AD223" s="412"/>
      <c r="AE223" s="413"/>
      <c r="AF223" s="412"/>
      <c r="AG223" s="413"/>
      <c r="AH223" s="414"/>
    </row>
    <row r="224" spans="30:34" x14ac:dyDescent="0.25">
      <c r="AD224" s="412"/>
      <c r="AE224" s="413"/>
      <c r="AF224" s="412"/>
      <c r="AG224" s="413"/>
      <c r="AH224" s="414"/>
    </row>
    <row r="225" spans="30:34" x14ac:dyDescent="0.25">
      <c r="AD225" s="412"/>
      <c r="AE225" s="413"/>
      <c r="AF225" s="412"/>
      <c r="AG225" s="413"/>
      <c r="AH225" s="414"/>
    </row>
    <row r="226" spans="30:34" x14ac:dyDescent="0.25">
      <c r="AD226" s="412"/>
      <c r="AE226" s="413"/>
      <c r="AF226" s="412"/>
      <c r="AG226" s="413"/>
      <c r="AH226" s="414"/>
    </row>
    <row r="227" spans="30:34" x14ac:dyDescent="0.25">
      <c r="AD227" s="412"/>
      <c r="AE227" s="413"/>
      <c r="AF227" s="412"/>
      <c r="AG227" s="413"/>
      <c r="AH227" s="414"/>
    </row>
    <row r="228" spans="30:34" x14ac:dyDescent="0.25">
      <c r="AD228" s="412"/>
      <c r="AE228" s="413"/>
      <c r="AF228" s="412"/>
      <c r="AG228" s="413"/>
      <c r="AH228" s="414"/>
    </row>
    <row r="229" spans="30:34" x14ac:dyDescent="0.25">
      <c r="AD229" s="412"/>
      <c r="AE229" s="413"/>
      <c r="AF229" s="412"/>
      <c r="AG229" s="413"/>
      <c r="AH229" s="414"/>
    </row>
    <row r="230" spans="30:34" x14ac:dyDescent="0.25">
      <c r="AD230" s="412"/>
      <c r="AE230" s="413"/>
      <c r="AF230" s="412"/>
      <c r="AG230" s="413"/>
      <c r="AH230" s="414"/>
    </row>
    <row r="231" spans="30:34" x14ac:dyDescent="0.25">
      <c r="AD231" s="412"/>
      <c r="AE231" s="413"/>
      <c r="AF231" s="412"/>
      <c r="AG231" s="413"/>
      <c r="AH231" s="414"/>
    </row>
    <row r="232" spans="30:34" x14ac:dyDescent="0.25">
      <c r="AD232" s="412"/>
      <c r="AE232" s="413"/>
      <c r="AF232" s="412"/>
      <c r="AG232" s="413"/>
      <c r="AH232" s="414"/>
    </row>
    <row r="233" spans="30:34" x14ac:dyDescent="0.25">
      <c r="AD233" s="412"/>
      <c r="AE233" s="413"/>
      <c r="AF233" s="412"/>
      <c r="AG233" s="413"/>
      <c r="AH233" s="414"/>
    </row>
    <row r="234" spans="30:34" x14ac:dyDescent="0.25">
      <c r="AD234" s="412"/>
      <c r="AE234" s="413"/>
      <c r="AF234" s="412"/>
      <c r="AG234" s="413"/>
      <c r="AH234" s="414"/>
    </row>
    <row r="235" spans="30:34" x14ac:dyDescent="0.25">
      <c r="AD235" s="412"/>
      <c r="AE235" s="413"/>
      <c r="AF235" s="412"/>
      <c r="AG235" s="413"/>
      <c r="AH235" s="414"/>
    </row>
    <row r="236" spans="30:34" x14ac:dyDescent="0.25">
      <c r="AD236" s="412"/>
      <c r="AE236" s="413"/>
      <c r="AF236" s="412"/>
      <c r="AG236" s="413"/>
      <c r="AH236" s="414"/>
    </row>
    <row r="237" spans="30:34" x14ac:dyDescent="0.25">
      <c r="AD237" s="412"/>
      <c r="AE237" s="413"/>
      <c r="AF237" s="412"/>
      <c r="AG237" s="413"/>
      <c r="AH237" s="414"/>
    </row>
    <row r="238" spans="30:34" x14ac:dyDescent="0.25">
      <c r="AD238" s="412"/>
      <c r="AE238" s="413"/>
      <c r="AF238" s="412"/>
      <c r="AG238" s="413"/>
      <c r="AH238" s="414"/>
    </row>
    <row r="239" spans="30:34" x14ac:dyDescent="0.25">
      <c r="AD239" s="412"/>
      <c r="AE239" s="413"/>
      <c r="AF239" s="412"/>
      <c r="AG239" s="413"/>
      <c r="AH239" s="414"/>
    </row>
    <row r="240" spans="30:34" x14ac:dyDescent="0.25">
      <c r="AD240" s="412"/>
      <c r="AE240" s="413"/>
      <c r="AF240" s="412"/>
      <c r="AG240" s="413"/>
      <c r="AH240" s="414"/>
    </row>
    <row r="241" spans="30:34" x14ac:dyDescent="0.25">
      <c r="AD241" s="412"/>
      <c r="AE241" s="413"/>
      <c r="AF241" s="412"/>
      <c r="AG241" s="413"/>
      <c r="AH241" s="414"/>
    </row>
    <row r="242" spans="30:34" x14ac:dyDescent="0.25">
      <c r="AD242" s="412"/>
      <c r="AE242" s="413"/>
      <c r="AF242" s="412"/>
      <c r="AG242" s="413"/>
      <c r="AH242" s="414"/>
    </row>
    <row r="243" spans="30:34" x14ac:dyDescent="0.25">
      <c r="AD243" s="412"/>
      <c r="AE243" s="413"/>
      <c r="AF243" s="412"/>
      <c r="AG243" s="413"/>
      <c r="AH243" s="414"/>
    </row>
    <row r="244" spans="30:34" x14ac:dyDescent="0.25">
      <c r="AD244" s="412"/>
      <c r="AE244" s="413"/>
      <c r="AF244" s="412"/>
      <c r="AG244" s="413"/>
      <c r="AH244" s="414"/>
    </row>
    <row r="245" spans="30:34" x14ac:dyDescent="0.25">
      <c r="AD245" s="412"/>
      <c r="AE245" s="413"/>
      <c r="AF245" s="412"/>
      <c r="AG245" s="413"/>
      <c r="AH245" s="414"/>
    </row>
    <row r="246" spans="30:34" x14ac:dyDescent="0.25">
      <c r="AD246" s="412"/>
      <c r="AE246" s="413"/>
      <c r="AF246" s="412"/>
      <c r="AG246" s="413"/>
      <c r="AH246" s="414"/>
    </row>
    <row r="247" spans="30:34" x14ac:dyDescent="0.25">
      <c r="AD247" s="412"/>
      <c r="AE247" s="413"/>
      <c r="AF247" s="412"/>
      <c r="AG247" s="413"/>
      <c r="AH247" s="414"/>
    </row>
    <row r="248" spans="30:34" x14ac:dyDescent="0.25">
      <c r="AD248" s="412"/>
      <c r="AE248" s="413"/>
      <c r="AF248" s="412"/>
      <c r="AG248" s="413"/>
      <c r="AH248" s="414"/>
    </row>
    <row r="249" spans="30:34" x14ac:dyDescent="0.25">
      <c r="AD249" s="412"/>
      <c r="AE249" s="413"/>
      <c r="AF249" s="412"/>
      <c r="AG249" s="413"/>
      <c r="AH249" s="414"/>
    </row>
    <row r="250" spans="30:34" x14ac:dyDescent="0.25">
      <c r="AD250" s="412"/>
      <c r="AE250" s="413"/>
      <c r="AF250" s="412"/>
      <c r="AG250" s="413"/>
      <c r="AH250" s="414"/>
    </row>
    <row r="251" spans="30:34" x14ac:dyDescent="0.25">
      <c r="AD251" s="412"/>
      <c r="AE251" s="413"/>
      <c r="AF251" s="412"/>
      <c r="AG251" s="413"/>
      <c r="AH251" s="414"/>
    </row>
    <row r="252" spans="30:34" x14ac:dyDescent="0.25">
      <c r="AD252" s="412"/>
      <c r="AE252" s="413"/>
      <c r="AF252" s="412"/>
      <c r="AG252" s="413"/>
      <c r="AH252" s="414"/>
    </row>
    <row r="253" spans="30:34" x14ac:dyDescent="0.25">
      <c r="AD253" s="412"/>
      <c r="AE253" s="413"/>
      <c r="AF253" s="412"/>
      <c r="AG253" s="413"/>
      <c r="AH253" s="414"/>
    </row>
    <row r="254" spans="30:34" x14ac:dyDescent="0.25">
      <c r="AD254" s="412"/>
      <c r="AE254" s="413"/>
      <c r="AF254" s="412"/>
      <c r="AG254" s="413"/>
      <c r="AH254" s="414"/>
    </row>
    <row r="255" spans="30:34" x14ac:dyDescent="0.25">
      <c r="AD255" s="412"/>
      <c r="AE255" s="413"/>
      <c r="AF255" s="412"/>
      <c r="AG255" s="413"/>
      <c r="AH255" s="414"/>
    </row>
    <row r="256" spans="30:34" x14ac:dyDescent="0.25">
      <c r="AD256" s="412"/>
      <c r="AE256" s="413"/>
      <c r="AF256" s="412"/>
      <c r="AG256" s="413"/>
      <c r="AH256" s="414"/>
    </row>
    <row r="257" spans="30:34" x14ac:dyDescent="0.25">
      <c r="AD257" s="412"/>
      <c r="AE257" s="413"/>
      <c r="AF257" s="412"/>
      <c r="AG257" s="413"/>
      <c r="AH257" s="414"/>
    </row>
    <row r="258" spans="30:34" x14ac:dyDescent="0.25">
      <c r="AD258" s="412"/>
      <c r="AE258" s="413"/>
      <c r="AF258" s="412"/>
      <c r="AG258" s="413"/>
      <c r="AH258" s="414"/>
    </row>
    <row r="259" spans="30:34" x14ac:dyDescent="0.25">
      <c r="AD259" s="412"/>
      <c r="AE259" s="413"/>
      <c r="AF259" s="412"/>
      <c r="AG259" s="413"/>
      <c r="AH259" s="414"/>
    </row>
    <row r="260" spans="30:34" x14ac:dyDescent="0.25">
      <c r="AD260" s="412"/>
      <c r="AE260" s="413"/>
      <c r="AF260" s="412"/>
      <c r="AG260" s="413"/>
      <c r="AH260" s="414"/>
    </row>
    <row r="261" spans="30:34" x14ac:dyDescent="0.25">
      <c r="AD261" s="412"/>
      <c r="AE261" s="413"/>
      <c r="AF261" s="412"/>
      <c r="AG261" s="413"/>
      <c r="AH261" s="414"/>
    </row>
  </sheetData>
  <mergeCells count="10">
    <mergeCell ref="C2:E3"/>
    <mergeCell ref="K9:N9"/>
    <mergeCell ref="C11:D11"/>
    <mergeCell ref="C12:D12"/>
    <mergeCell ref="C19:E19"/>
    <mergeCell ref="H60:I82"/>
    <mergeCell ref="J133:X134"/>
    <mergeCell ref="J91:X92"/>
    <mergeCell ref="J58:X59"/>
    <mergeCell ref="J177:X178"/>
  </mergeCells>
  <conditionalFormatting sqref="C40:E40 C33:E37 AB35:AB38 AF35:AP38">
    <cfRule type="expression" dxfId="10" priority="44">
      <formula>$D$32="no"</formula>
    </cfRule>
  </conditionalFormatting>
  <conditionalFormatting sqref="D39">
    <cfRule type="expression" dxfId="9" priority="41">
      <formula>$D$32="no"</formula>
    </cfRule>
  </conditionalFormatting>
  <conditionalFormatting sqref="D38">
    <cfRule type="expression" dxfId="8" priority="42">
      <formula>$D$32="no"</formula>
    </cfRule>
  </conditionalFormatting>
  <conditionalFormatting sqref="C38">
    <cfRule type="expression" dxfId="7" priority="40">
      <formula>$D$32="no"</formula>
    </cfRule>
  </conditionalFormatting>
  <conditionalFormatting sqref="C39">
    <cfRule type="expression" dxfId="6" priority="39">
      <formula>$D$32="no"</formula>
    </cfRule>
  </conditionalFormatting>
  <conditionalFormatting sqref="E38">
    <cfRule type="expression" dxfId="5" priority="37">
      <formula>$D$32="no"</formula>
    </cfRule>
  </conditionalFormatting>
  <conditionalFormatting sqref="E39">
    <cfRule type="expression" dxfId="4" priority="36">
      <formula>$D$32="no"</formula>
    </cfRule>
  </conditionalFormatting>
  <conditionalFormatting sqref="J62:X87">
    <cfRule type="expression" dxfId="3" priority="35">
      <formula>$D$32="no"</formula>
    </cfRule>
  </conditionalFormatting>
  <conditionalFormatting sqref="AB34:AP34">
    <cfRule type="expression" dxfId="2" priority="11">
      <formula>$D$32="no"</formula>
    </cfRule>
  </conditionalFormatting>
  <conditionalFormatting sqref="AC35:AE38">
    <cfRule type="expression" dxfId="1" priority="1">
      <formula>$D$32="no"</formula>
    </cfRule>
  </conditionalFormatting>
  <conditionalFormatting sqref="H60 K9">
    <cfRule type="expression" dxfId="0" priority="160">
      <formula>AND($D$32="yes",ROUND($L$69,4)&lt;&gt;ROUND($D$33,4))</formula>
    </cfRule>
  </conditionalFormatting>
  <dataValidations count="2">
    <dataValidation type="list" allowBlank="1" showInputMessage="1" showErrorMessage="1" sqref="E17" xr:uid="{00000000-0002-0000-0100-000000000000}">
      <formula1>$AP$1:$AP$3</formula1>
    </dataValidation>
    <dataValidation type="list" allowBlank="1" showInputMessage="1" showErrorMessage="1" sqref="D32" xr:uid="{00000000-0002-0000-0100-000001000000}">
      <formula1>$BE$9:$BE$10</formula1>
    </dataValidation>
  </dataValidations>
  <hyperlinks>
    <hyperlink ref="C6" r:id="rId1" xr:uid="{BE1E24CF-ED8E-4DE6-A165-9CF873D0039B}"/>
    <hyperlink ref="C5" r:id="rId2" xr:uid="{761CC573-6AAC-45CD-BD2A-3EFAD396CDE2}"/>
  </hyperlinks>
  <pageMargins left="0.7" right="0.7" top="0.75" bottom="0.75" header="0.3" footer="0.3"/>
  <pageSetup orientation="portrait" verticalDpi="300"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Model!$BE$10:$BE$11</xm:f>
          </x14:formula1>
          <xm:sqref>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373"/>
  <sheetViews>
    <sheetView zoomScale="85" zoomScaleNormal="85" workbookViewId="0"/>
  </sheetViews>
  <sheetFormatPr defaultRowHeight="15" x14ac:dyDescent="0.25"/>
  <cols>
    <col min="1" max="1" width="2.7109375" style="103" customWidth="1"/>
    <col min="2" max="2" width="2.7109375" style="122" customWidth="1"/>
    <col min="3" max="4" width="9.140625" style="122"/>
    <col min="5" max="5" width="12" style="122" bestFit="1" customWidth="1"/>
    <col min="6" max="8" width="9.140625" style="122"/>
    <col min="9" max="9" width="11.5703125" style="122" bestFit="1" customWidth="1"/>
    <col min="10" max="10" width="2.7109375" style="122" customWidth="1"/>
    <col min="11" max="16384" width="9.140625" style="103"/>
  </cols>
  <sheetData>
    <row r="1" spans="2:10" ht="15.75" thickBot="1" x14ac:dyDescent="0.3"/>
    <row r="2" spans="2:10" ht="15" customHeight="1" x14ac:dyDescent="0.25">
      <c r="B2" s="124"/>
      <c r="C2" s="436" t="s">
        <v>195</v>
      </c>
      <c r="D2" s="436"/>
      <c r="E2" s="436"/>
      <c r="F2" s="436"/>
      <c r="G2" s="436"/>
      <c r="H2" s="436"/>
      <c r="I2" s="436"/>
      <c r="J2" s="427"/>
    </row>
    <row r="3" spans="2:10" ht="15" customHeight="1" x14ac:dyDescent="0.25">
      <c r="B3" s="6"/>
      <c r="C3" s="437"/>
      <c r="D3" s="437"/>
      <c r="E3" s="437"/>
      <c r="F3" s="437"/>
      <c r="G3" s="437"/>
      <c r="H3" s="437"/>
      <c r="I3" s="437"/>
      <c r="J3" s="428"/>
    </row>
    <row r="4" spans="2:10" x14ac:dyDescent="0.25">
      <c r="B4" s="6"/>
      <c r="C4" s="20" t="s">
        <v>66</v>
      </c>
      <c r="D4" s="20"/>
      <c r="E4" s="20"/>
      <c r="F4" s="20"/>
      <c r="G4" s="20"/>
      <c r="H4" s="20"/>
      <c r="I4" s="20"/>
      <c r="J4" s="127"/>
    </row>
    <row r="5" spans="2:10" x14ac:dyDescent="0.25">
      <c r="B5" s="6"/>
      <c r="C5" s="429" t="s">
        <v>193</v>
      </c>
      <c r="D5" s="20"/>
      <c r="E5" s="20"/>
      <c r="F5" s="20"/>
      <c r="G5" s="20"/>
      <c r="H5" s="20"/>
      <c r="I5" s="20"/>
      <c r="J5" s="127"/>
    </row>
    <row r="6" spans="2:10" ht="15.75" thickBot="1" x14ac:dyDescent="0.3">
      <c r="B6" s="7"/>
      <c r="C6" s="425" t="s">
        <v>194</v>
      </c>
      <c r="D6" s="129"/>
      <c r="E6" s="129"/>
      <c r="F6" s="129"/>
      <c r="G6" s="129"/>
      <c r="H6" s="129"/>
      <c r="I6" s="129"/>
      <c r="J6" s="131"/>
    </row>
    <row r="7" spans="2:10" ht="15.75" thickBot="1" x14ac:dyDescent="0.3"/>
    <row r="8" spans="2:10" x14ac:dyDescent="0.25">
      <c r="B8" s="124"/>
      <c r="C8" s="125"/>
      <c r="D8" s="125"/>
      <c r="E8" s="125"/>
      <c r="F8" s="125"/>
      <c r="G8" s="125"/>
      <c r="H8" s="125"/>
      <c r="I8" s="125"/>
      <c r="J8" s="126"/>
    </row>
    <row r="9" spans="2:10" ht="26.25" x14ac:dyDescent="0.25">
      <c r="B9" s="6"/>
      <c r="C9" s="169" t="s">
        <v>95</v>
      </c>
      <c r="D9" s="20"/>
      <c r="E9" s="20"/>
      <c r="F9" s="20"/>
      <c r="G9" s="20"/>
      <c r="H9" s="20"/>
      <c r="I9" s="20"/>
      <c r="J9" s="127"/>
    </row>
    <row r="10" spans="2:10" x14ac:dyDescent="0.25">
      <c r="B10" s="6"/>
      <c r="C10" s="20"/>
      <c r="D10" s="20"/>
      <c r="E10" s="20"/>
      <c r="F10" s="20"/>
      <c r="G10" s="20"/>
      <c r="H10" s="20"/>
      <c r="I10" s="20"/>
      <c r="J10" s="127"/>
    </row>
    <row r="11" spans="2:10" x14ac:dyDescent="0.25">
      <c r="B11" s="6"/>
      <c r="C11" s="433" t="s">
        <v>38</v>
      </c>
      <c r="D11" s="434"/>
      <c r="E11" s="434"/>
      <c r="F11" s="434"/>
      <c r="G11" s="434"/>
      <c r="H11" s="434"/>
      <c r="I11" s="435"/>
      <c r="J11" s="127"/>
    </row>
    <row r="12" spans="2:10" x14ac:dyDescent="0.25">
      <c r="B12" s="6"/>
      <c r="C12" s="28" t="s">
        <v>36</v>
      </c>
      <c r="D12" s="61" t="s">
        <v>39</v>
      </c>
      <c r="E12" s="61" t="s">
        <v>27</v>
      </c>
      <c r="F12" s="61" t="s">
        <v>20</v>
      </c>
      <c r="G12" s="61" t="s">
        <v>28</v>
      </c>
      <c r="H12" s="61" t="s">
        <v>29</v>
      </c>
      <c r="I12" s="62" t="s">
        <v>30</v>
      </c>
      <c r="J12" s="127"/>
    </row>
    <row r="13" spans="2:10" x14ac:dyDescent="0.25">
      <c r="B13" s="6"/>
      <c r="C13" s="13">
        <v>1</v>
      </c>
      <c r="D13" s="82">
        <v>1</v>
      </c>
      <c r="E13" s="24">
        <f>Model!E16*Model!E39</f>
        <v>6500000</v>
      </c>
      <c r="F13" s="24">
        <f>-PMT(Model!$E$40/12,(Model!$E$41*12)-(D13-1),E13)</f>
        <v>31031.994205254865</v>
      </c>
      <c r="G13" s="25">
        <f>E13*Model!$E$40/12</f>
        <v>21666.666666666668</v>
      </c>
      <c r="H13" s="24">
        <f>F13-G13</f>
        <v>9365.3275385881971</v>
      </c>
      <c r="I13" s="16">
        <f>E13-H13</f>
        <v>6490634.6724614119</v>
      </c>
      <c r="J13" s="127"/>
    </row>
    <row r="14" spans="2:10" x14ac:dyDescent="0.25">
      <c r="B14" s="6"/>
      <c r="C14" s="13"/>
      <c r="D14" s="82">
        <v>2</v>
      </c>
      <c r="E14" s="24">
        <f>I13+IF(Model!$E$32="Yes",(Model!$E$31=AmortSched!C14)*Model!$E$30*Model!$E$33,0)</f>
        <v>6490634.6724614119</v>
      </c>
      <c r="F14" s="24">
        <f>-PMT(Model!$E$40/12,(Model!$E$41*12)-(D14-1),E14)</f>
        <v>31031.994205254872</v>
      </c>
      <c r="G14" s="25">
        <f>E14*Model!$E$40/12</f>
        <v>21635.448908204708</v>
      </c>
      <c r="H14" s="24">
        <f>F14-G14</f>
        <v>9396.5452970501647</v>
      </c>
      <c r="I14" s="16">
        <f>E14-H14</f>
        <v>6481238.127164362</v>
      </c>
      <c r="J14" s="127"/>
    </row>
    <row r="15" spans="2:10" x14ac:dyDescent="0.25">
      <c r="B15" s="6"/>
      <c r="C15" s="13"/>
      <c r="D15" s="82">
        <v>3</v>
      </c>
      <c r="E15" s="24">
        <f>I14+IF(Model!$E$32="Yes",(Model!$E$31=AmortSched!C15)*Model!$E$30*Model!$E$33,0)</f>
        <v>6481238.127164362</v>
      </c>
      <c r="F15" s="24">
        <f>-PMT(Model!$E$40/12,(Model!$E$41*12)-(D15-1),E15)</f>
        <v>31031.994205254872</v>
      </c>
      <c r="G15" s="25">
        <f>E15*Model!$E$40/12</f>
        <v>21604.127090547874</v>
      </c>
      <c r="H15" s="24">
        <f t="shared" ref="H15:H78" si="0">F15-G15</f>
        <v>9427.8671147069981</v>
      </c>
      <c r="I15" s="16">
        <f t="shared" ref="I15:I78" si="1">E15-H15</f>
        <v>6471810.2600496551</v>
      </c>
      <c r="J15" s="127"/>
    </row>
    <row r="16" spans="2:10" x14ac:dyDescent="0.25">
      <c r="B16" s="6"/>
      <c r="C16" s="13"/>
      <c r="D16" s="82">
        <v>4</v>
      </c>
      <c r="E16" s="24">
        <f>I15+IF(Model!$E$32="Yes",(Model!$E$31=AmortSched!C16)*Model!$E$30*Model!$E$33,0)</f>
        <v>6471810.2600496551</v>
      </c>
      <c r="F16" s="24">
        <f>-PMT(Model!$E$40/12,(Model!$E$41*12)-(D16-1),E16)</f>
        <v>31031.994205254872</v>
      </c>
      <c r="G16" s="25">
        <f>E16*Model!$E$40/12</f>
        <v>21572.700866832183</v>
      </c>
      <c r="H16" s="24">
        <f t="shared" si="0"/>
        <v>9459.293338422689</v>
      </c>
      <c r="I16" s="16">
        <f t="shared" si="1"/>
        <v>6462350.9667112324</v>
      </c>
      <c r="J16" s="127"/>
    </row>
    <row r="17" spans="2:10" x14ac:dyDescent="0.25">
      <c r="B17" s="6"/>
      <c r="C17" s="13"/>
      <c r="D17" s="82">
        <v>5</v>
      </c>
      <c r="E17" s="24">
        <f>I16+IF(Model!$E$32="Yes",(Model!$E$31=AmortSched!C17)*Model!$E$30*Model!$E$33,0)</f>
        <v>6462350.9667112324</v>
      </c>
      <c r="F17" s="24">
        <f>-PMT(Model!$E$40/12,(Model!$E$41*12)-(D17-1),E17)</f>
        <v>31031.994205254872</v>
      </c>
      <c r="G17" s="25">
        <f>E17*Model!$E$40/12</f>
        <v>21541.169889037443</v>
      </c>
      <c r="H17" s="24">
        <f t="shared" si="0"/>
        <v>9490.8243162174294</v>
      </c>
      <c r="I17" s="16">
        <f t="shared" si="1"/>
        <v>6452860.1423950149</v>
      </c>
      <c r="J17" s="127"/>
    </row>
    <row r="18" spans="2:10" x14ac:dyDescent="0.25">
      <c r="B18" s="6"/>
      <c r="C18" s="13"/>
      <c r="D18" s="82">
        <v>6</v>
      </c>
      <c r="E18" s="24">
        <f>I17+IF(Model!$E$32="Yes",(Model!$E$31=AmortSched!C18)*Model!$E$30*Model!$E$33,0)</f>
        <v>6452860.1423950149</v>
      </c>
      <c r="F18" s="24">
        <f>-PMT(Model!$E$40/12,(Model!$E$41*12)-(D18-1),E18)</f>
        <v>31031.994205254872</v>
      </c>
      <c r="G18" s="25">
        <f>E18*Model!$E$40/12</f>
        <v>21509.533807983385</v>
      </c>
      <c r="H18" s="24">
        <f t="shared" si="0"/>
        <v>9522.4603972714867</v>
      </c>
      <c r="I18" s="16">
        <f t="shared" si="1"/>
        <v>6443337.6819977434</v>
      </c>
      <c r="J18" s="127"/>
    </row>
    <row r="19" spans="2:10" x14ac:dyDescent="0.25">
      <c r="B19" s="6"/>
      <c r="C19" s="13"/>
      <c r="D19" s="82">
        <v>7</v>
      </c>
      <c r="E19" s="24">
        <f>I18+IF(Model!$E$32="Yes",(Model!$E$31=AmortSched!C19)*Model!$E$30*Model!$E$33,0)</f>
        <v>6443337.6819977434</v>
      </c>
      <c r="F19" s="24">
        <f>-PMT(Model!$E$40/12,(Model!$E$41*12)-(D19-1),E19)</f>
        <v>31031.994205254872</v>
      </c>
      <c r="G19" s="25">
        <f>E19*Model!$E$40/12</f>
        <v>21477.792273325813</v>
      </c>
      <c r="H19" s="24">
        <f t="shared" si="0"/>
        <v>9554.2019319290594</v>
      </c>
      <c r="I19" s="16">
        <f t="shared" si="1"/>
        <v>6433783.4800658142</v>
      </c>
      <c r="J19" s="127"/>
    </row>
    <row r="20" spans="2:10" x14ac:dyDescent="0.25">
      <c r="B20" s="6"/>
      <c r="C20" s="13"/>
      <c r="D20" s="82">
        <v>8</v>
      </c>
      <c r="E20" s="24">
        <f>I19+IF(Model!$E$32="Yes",(Model!$E$31=AmortSched!C20)*Model!$E$30*Model!$E$33,0)</f>
        <v>6433783.4800658142</v>
      </c>
      <c r="F20" s="24">
        <f>-PMT(Model!$E$40/12,(Model!$E$41*12)-(D20-1),E20)</f>
        <v>31031.994205254872</v>
      </c>
      <c r="G20" s="25">
        <f>E20*Model!$E$40/12</f>
        <v>21445.944933552713</v>
      </c>
      <c r="H20" s="24">
        <f t="shared" si="0"/>
        <v>9586.0492717021589</v>
      </c>
      <c r="I20" s="16">
        <f t="shared" si="1"/>
        <v>6424197.4307941124</v>
      </c>
      <c r="J20" s="127"/>
    </row>
    <row r="21" spans="2:10" x14ac:dyDescent="0.25">
      <c r="B21" s="6"/>
      <c r="C21" s="13"/>
      <c r="D21" s="82">
        <v>9</v>
      </c>
      <c r="E21" s="24">
        <f>I20+IF(Model!$E$32="Yes",(Model!$E$31=AmortSched!C21)*Model!$E$30*Model!$E$33,0)</f>
        <v>6424197.4307941124</v>
      </c>
      <c r="F21" s="24">
        <f>-PMT(Model!$E$40/12,(Model!$E$41*12)-(D21-1),E21)</f>
        <v>31031.994205254872</v>
      </c>
      <c r="G21" s="25">
        <f>E21*Model!$E$40/12</f>
        <v>21413.991435980377</v>
      </c>
      <c r="H21" s="24">
        <f t="shared" si="0"/>
        <v>9618.0027692744952</v>
      </c>
      <c r="I21" s="16">
        <f t="shared" si="1"/>
        <v>6414579.4280248377</v>
      </c>
      <c r="J21" s="127"/>
    </row>
    <row r="22" spans="2:10" x14ac:dyDescent="0.25">
      <c r="B22" s="6"/>
      <c r="C22" s="13"/>
      <c r="D22" s="82">
        <v>10</v>
      </c>
      <c r="E22" s="24">
        <f>I21+IF(Model!$E$32="Yes",(Model!$E$31=AmortSched!C22)*Model!$E$30*Model!$E$33,0)</f>
        <v>6414579.4280248377</v>
      </c>
      <c r="F22" s="24">
        <f>-PMT(Model!$E$40/12,(Model!$E$41*12)-(D22-1),E22)</f>
        <v>31031.994205254872</v>
      </c>
      <c r="G22" s="25">
        <f>E22*Model!$E$40/12</f>
        <v>21381.931426749459</v>
      </c>
      <c r="H22" s="24">
        <f t="shared" si="0"/>
        <v>9650.062778505413</v>
      </c>
      <c r="I22" s="16">
        <f t="shared" si="1"/>
        <v>6404929.3652463323</v>
      </c>
      <c r="J22" s="127"/>
    </row>
    <row r="23" spans="2:10" x14ac:dyDescent="0.25">
      <c r="B23" s="6"/>
      <c r="C23" s="13"/>
      <c r="D23" s="82">
        <v>11</v>
      </c>
      <c r="E23" s="24">
        <f>I22+IF(Model!$E$32="Yes",(Model!$E$31=AmortSched!C23)*Model!$E$30*Model!$E$33,0)</f>
        <v>6404929.3652463323</v>
      </c>
      <c r="F23" s="24">
        <f>-PMT(Model!$E$40/12,(Model!$E$41*12)-(D23-1),E23)</f>
        <v>31031.994205254872</v>
      </c>
      <c r="G23" s="25">
        <f>E23*Model!$E$40/12</f>
        <v>21349.76455082111</v>
      </c>
      <c r="H23" s="24">
        <f t="shared" si="0"/>
        <v>9682.2296544337623</v>
      </c>
      <c r="I23" s="16">
        <f t="shared" si="1"/>
        <v>6395247.1355918981</v>
      </c>
      <c r="J23" s="127"/>
    </row>
    <row r="24" spans="2:10" x14ac:dyDescent="0.25">
      <c r="B24" s="6"/>
      <c r="C24" s="13"/>
      <c r="D24" s="82">
        <v>12</v>
      </c>
      <c r="E24" s="24">
        <f>I23+IF(Model!$E$32="Yes",(Model!$E$31=AmortSched!C24)*Model!$E$30*Model!$E$33,0)</f>
        <v>6395247.1355918981</v>
      </c>
      <c r="F24" s="24">
        <f>-PMT(Model!$E$40/12,(Model!$E$41*12)-(D24-1),E24)</f>
        <v>31031.994205254872</v>
      </c>
      <c r="G24" s="25">
        <f>E24*Model!$E$40/12</f>
        <v>21317.490451972993</v>
      </c>
      <c r="H24" s="24">
        <f t="shared" si="0"/>
        <v>9714.5037532818787</v>
      </c>
      <c r="I24" s="16">
        <f t="shared" si="1"/>
        <v>6385532.631838616</v>
      </c>
      <c r="J24" s="127"/>
    </row>
    <row r="25" spans="2:10" x14ac:dyDescent="0.25">
      <c r="B25" s="6"/>
      <c r="C25" s="13">
        <f>C13+1</f>
        <v>2</v>
      </c>
      <c r="D25" s="82">
        <v>13</v>
      </c>
      <c r="E25" s="24">
        <f>I24+IF(Model!$E$32="Yes",(Model!$E$31=AmortSched!C25)*Model!$E$30*Model!$E$33,0)</f>
        <v>6385532.631838616</v>
      </c>
      <c r="F25" s="24">
        <f>-PMT(Model!$E$40/12,(Model!$E$41*12)-(D25-1),E25)</f>
        <v>31031.994205254865</v>
      </c>
      <c r="G25" s="25">
        <f>E25*Model!$E$40/12</f>
        <v>21285.108772795389</v>
      </c>
      <c r="H25" s="24">
        <f t="shared" si="0"/>
        <v>9746.8854324594759</v>
      </c>
      <c r="I25" s="16">
        <f t="shared" si="1"/>
        <v>6375785.7464061566</v>
      </c>
      <c r="J25" s="127"/>
    </row>
    <row r="26" spans="2:10" x14ac:dyDescent="0.25">
      <c r="B26" s="6"/>
      <c r="C26" s="13"/>
      <c r="D26" s="82">
        <v>14</v>
      </c>
      <c r="E26" s="24">
        <f>I25+IF(Model!$E$32="Yes",(Model!$E$31=AmortSched!C26)*Model!$E$30*Model!$E$33,0)</f>
        <v>6375785.7464061566</v>
      </c>
      <c r="F26" s="24">
        <f>-PMT(Model!$E$40/12,(Model!$E$41*12)-(D26-1),E26)</f>
        <v>31031.994205254865</v>
      </c>
      <c r="G26" s="25">
        <f>E26*Model!$E$40/12</f>
        <v>21252.619154687189</v>
      </c>
      <c r="H26" s="24">
        <f t="shared" si="0"/>
        <v>9779.3750505676762</v>
      </c>
      <c r="I26" s="16">
        <f t="shared" si="1"/>
        <v>6366006.3713555885</v>
      </c>
      <c r="J26" s="127"/>
    </row>
    <row r="27" spans="2:10" x14ac:dyDescent="0.25">
      <c r="B27" s="6"/>
      <c r="C27" s="13"/>
      <c r="D27" s="82">
        <v>15</v>
      </c>
      <c r="E27" s="24">
        <f>I26+IF(Model!$E$32="Yes",(Model!$E$31=AmortSched!C27)*Model!$E$30*Model!$E$33,0)</f>
        <v>6366006.3713555885</v>
      </c>
      <c r="F27" s="24">
        <f>-PMT(Model!$E$40/12,(Model!$E$41*12)-(D27-1),E27)</f>
        <v>31031.994205254865</v>
      </c>
      <c r="G27" s="25">
        <f>E27*Model!$E$40/12</f>
        <v>21220.021237851961</v>
      </c>
      <c r="H27" s="24">
        <f t="shared" si="0"/>
        <v>9811.972967402904</v>
      </c>
      <c r="I27" s="16">
        <f t="shared" si="1"/>
        <v>6356194.3983881855</v>
      </c>
      <c r="J27" s="127"/>
    </row>
    <row r="28" spans="2:10" x14ac:dyDescent="0.25">
      <c r="B28" s="6"/>
      <c r="C28" s="13"/>
      <c r="D28" s="82">
        <v>16</v>
      </c>
      <c r="E28" s="24">
        <f>I27+IF(Model!$E$32="Yes",(Model!$E$31=AmortSched!C28)*Model!$E$30*Model!$E$33,0)</f>
        <v>6356194.3983881855</v>
      </c>
      <c r="F28" s="24">
        <f>-PMT(Model!$E$40/12,(Model!$E$41*12)-(D28-1),E28)</f>
        <v>31031.994205254865</v>
      </c>
      <c r="G28" s="25">
        <f>E28*Model!$E$40/12</f>
        <v>21187.314661293953</v>
      </c>
      <c r="H28" s="24">
        <f t="shared" si="0"/>
        <v>9844.6795439609123</v>
      </c>
      <c r="I28" s="16">
        <f t="shared" si="1"/>
        <v>6346349.7188442247</v>
      </c>
      <c r="J28" s="127"/>
    </row>
    <row r="29" spans="2:10" x14ac:dyDescent="0.25">
      <c r="B29" s="6"/>
      <c r="C29" s="13"/>
      <c r="D29" s="82">
        <v>17</v>
      </c>
      <c r="E29" s="24">
        <f>I28+IF(Model!$E$32="Yes",(Model!$E$31=AmortSched!C29)*Model!$E$30*Model!$E$33,0)</f>
        <v>6346349.7188442247</v>
      </c>
      <c r="F29" s="24">
        <f>-PMT(Model!$E$40/12,(Model!$E$41*12)-(D29-1),E29)</f>
        <v>31031.994205254858</v>
      </c>
      <c r="G29" s="25">
        <f>E29*Model!$E$40/12</f>
        <v>21154.499062814084</v>
      </c>
      <c r="H29" s="24">
        <f t="shared" si="0"/>
        <v>9877.4951424407736</v>
      </c>
      <c r="I29" s="16">
        <f t="shared" si="1"/>
        <v>6336472.2237017844</v>
      </c>
      <c r="J29" s="127"/>
    </row>
    <row r="30" spans="2:10" x14ac:dyDescent="0.25">
      <c r="B30" s="6"/>
      <c r="C30" s="13"/>
      <c r="D30" s="82">
        <v>18</v>
      </c>
      <c r="E30" s="24">
        <f>I29+IF(Model!$E$32="Yes",(Model!$E$31=AmortSched!C30)*Model!$E$30*Model!$E$33,0)</f>
        <v>6336472.2237017844</v>
      </c>
      <c r="F30" s="24">
        <f>-PMT(Model!$E$40/12,(Model!$E$41*12)-(D30-1),E30)</f>
        <v>31031.994205254872</v>
      </c>
      <c r="G30" s="25">
        <f>E30*Model!$E$40/12</f>
        <v>21121.574079005946</v>
      </c>
      <c r="H30" s="24">
        <f t="shared" si="0"/>
        <v>9910.420126248926</v>
      </c>
      <c r="I30" s="16">
        <f t="shared" si="1"/>
        <v>6326561.8035755353</v>
      </c>
      <c r="J30" s="127"/>
    </row>
    <row r="31" spans="2:10" x14ac:dyDescent="0.25">
      <c r="B31" s="6"/>
      <c r="C31" s="13"/>
      <c r="D31" s="82">
        <v>19</v>
      </c>
      <c r="E31" s="24">
        <f>I30+IF(Model!$E$32="Yes",(Model!$E$31=AmortSched!C31)*Model!$E$30*Model!$E$33,0)</f>
        <v>6326561.8035755353</v>
      </c>
      <c r="F31" s="24">
        <f>-PMT(Model!$E$40/12,(Model!$E$41*12)-(D31-1),E31)</f>
        <v>31031.994205254872</v>
      </c>
      <c r="G31" s="25">
        <f>E31*Model!$E$40/12</f>
        <v>21088.539345251786</v>
      </c>
      <c r="H31" s="24">
        <f t="shared" si="0"/>
        <v>9943.4548600030867</v>
      </c>
      <c r="I31" s="16">
        <f t="shared" si="1"/>
        <v>6316618.3487155326</v>
      </c>
      <c r="J31" s="127"/>
    </row>
    <row r="32" spans="2:10" x14ac:dyDescent="0.25">
      <c r="B32" s="6"/>
      <c r="C32" s="13"/>
      <c r="D32" s="82">
        <v>20</v>
      </c>
      <c r="E32" s="24">
        <f>I31+IF(Model!$E$32="Yes",(Model!$E$31=AmortSched!C32)*Model!$E$30*Model!$E$33,0)</f>
        <v>6316618.3487155326</v>
      </c>
      <c r="F32" s="24">
        <f>-PMT(Model!$E$40/12,(Model!$E$41*12)-(D32-1),E32)</f>
        <v>31031.994205254872</v>
      </c>
      <c r="G32" s="25">
        <f>E32*Model!$E$40/12</f>
        <v>21055.394495718443</v>
      </c>
      <c r="H32" s="24">
        <f t="shared" si="0"/>
        <v>9976.5997095364291</v>
      </c>
      <c r="I32" s="16">
        <f t="shared" si="1"/>
        <v>6306641.7490059957</v>
      </c>
      <c r="J32" s="127"/>
    </row>
    <row r="33" spans="2:13" x14ac:dyDescent="0.25">
      <c r="B33" s="6"/>
      <c r="C33" s="13"/>
      <c r="D33" s="82">
        <v>21</v>
      </c>
      <c r="E33" s="24">
        <f>I32+IF(Model!$E$32="Yes",(Model!$E$31=AmortSched!C33)*Model!$E$30*Model!$E$33,0)</f>
        <v>6306641.7490059957</v>
      </c>
      <c r="F33" s="24">
        <f>-PMT(Model!$E$40/12,(Model!$E$41*12)-(D33-1),E33)</f>
        <v>31031.994205254865</v>
      </c>
      <c r="G33" s="25">
        <f>E33*Model!$E$40/12</f>
        <v>21022.13916335332</v>
      </c>
      <c r="H33" s="24">
        <f t="shared" si="0"/>
        <v>10009.855041901545</v>
      </c>
      <c r="I33" s="16">
        <f t="shared" si="1"/>
        <v>6296631.8939640941</v>
      </c>
      <c r="J33" s="127"/>
    </row>
    <row r="34" spans="2:13" x14ac:dyDescent="0.25">
      <c r="B34" s="6"/>
      <c r="C34" s="13"/>
      <c r="D34" s="82">
        <v>22</v>
      </c>
      <c r="E34" s="24">
        <f>I33+IF(Model!$E$32="Yes",(Model!$E$31=AmortSched!C34)*Model!$E$30*Model!$E$33,0)</f>
        <v>6296631.8939640941</v>
      </c>
      <c r="F34" s="24">
        <f>-PMT(Model!$E$40/12,(Model!$E$41*12)-(D34-1),E34)</f>
        <v>31031.994205254865</v>
      </c>
      <c r="G34" s="25">
        <f>E34*Model!$E$40/12</f>
        <v>20988.772979880316</v>
      </c>
      <c r="H34" s="24">
        <f t="shared" si="0"/>
        <v>10043.221225374549</v>
      </c>
      <c r="I34" s="16">
        <f t="shared" si="1"/>
        <v>6286588.6727387197</v>
      </c>
      <c r="J34" s="127"/>
    </row>
    <row r="35" spans="2:13" x14ac:dyDescent="0.25">
      <c r="B35" s="6"/>
      <c r="C35" s="13"/>
      <c r="D35" s="82">
        <v>23</v>
      </c>
      <c r="E35" s="24">
        <f>I34+IF(Model!$E$32="Yes",(Model!$E$31=AmortSched!C35)*Model!$E$30*Model!$E$33,0)</f>
        <v>6286588.6727387197</v>
      </c>
      <c r="F35" s="24">
        <f>-PMT(Model!$E$40/12,(Model!$E$41*12)-(D35-1),E35)</f>
        <v>31031.994205254865</v>
      </c>
      <c r="G35" s="25">
        <f>E35*Model!$E$40/12</f>
        <v>20955.295575795735</v>
      </c>
      <c r="H35" s="24">
        <f t="shared" si="0"/>
        <v>10076.69862945913</v>
      </c>
      <c r="I35" s="16">
        <f t="shared" si="1"/>
        <v>6276511.9741092604</v>
      </c>
      <c r="J35" s="127"/>
    </row>
    <row r="36" spans="2:13" x14ac:dyDescent="0.25">
      <c r="B36" s="6"/>
      <c r="C36" s="13"/>
      <c r="D36" s="82">
        <v>24</v>
      </c>
      <c r="E36" s="24">
        <f>I35+IF(Model!$E$32="Yes",(Model!$E$31=AmortSched!C36)*Model!$E$30*Model!$E$33,0)</f>
        <v>6276511.9741092604</v>
      </c>
      <c r="F36" s="24">
        <f>-PMT(Model!$E$40/12,(Model!$E$41*12)-(D36-1),E36)</f>
        <v>31031.994205254865</v>
      </c>
      <c r="G36" s="25">
        <f>E36*Model!$E$40/12</f>
        <v>20921.7065803642</v>
      </c>
      <c r="H36" s="24">
        <f t="shared" si="0"/>
        <v>10110.287624890665</v>
      </c>
      <c r="I36" s="16">
        <f t="shared" si="1"/>
        <v>6266401.6864843694</v>
      </c>
      <c r="J36" s="127"/>
    </row>
    <row r="37" spans="2:13" x14ac:dyDescent="0.25">
      <c r="B37" s="6"/>
      <c r="C37" s="13">
        <f>C25+1</f>
        <v>3</v>
      </c>
      <c r="D37" s="82">
        <v>25</v>
      </c>
      <c r="E37" s="24">
        <f>I36+IF(Model!$E$32="Yes",(Model!$E$31=AmortSched!C37)*Model!$E$30*Model!$E$33,0)</f>
        <v>6316401.6864843694</v>
      </c>
      <c r="F37" s="24">
        <f>-PMT(Model!$E$40/12,(Model!$E$41*12)-(D37-1),E37)</f>
        <v>31279.600373498004</v>
      </c>
      <c r="G37" s="25">
        <f>E37*Model!$E$40/12</f>
        <v>21054.672288281232</v>
      </c>
      <c r="H37" s="24">
        <f t="shared" si="0"/>
        <v>10224.928085216772</v>
      </c>
      <c r="I37" s="16">
        <f t="shared" si="1"/>
        <v>6306176.7583991531</v>
      </c>
      <c r="J37" s="127"/>
      <c r="L37" s="426"/>
      <c r="M37" s="426"/>
    </row>
    <row r="38" spans="2:13" x14ac:dyDescent="0.25">
      <c r="B38" s="6"/>
      <c r="C38" s="13"/>
      <c r="D38" s="82">
        <v>26</v>
      </c>
      <c r="E38" s="24">
        <f>I37+IF(Model!$E$32="Yes",(Model!$E$31=AmortSched!C38)*Model!$E$30*Model!$E$33,0)</f>
        <v>6306176.7583991531</v>
      </c>
      <c r="F38" s="24">
        <f>-PMT(Model!$E$40/12,(Model!$E$41*12)-(D38-1),E38)</f>
        <v>31279.600373498004</v>
      </c>
      <c r="G38" s="25">
        <f>E38*Model!$E$40/12</f>
        <v>21020.589194663844</v>
      </c>
      <c r="H38" s="24">
        <f t="shared" si="0"/>
        <v>10259.01117883416</v>
      </c>
      <c r="I38" s="16">
        <f t="shared" si="1"/>
        <v>6295917.7472203188</v>
      </c>
      <c r="J38" s="127"/>
    </row>
    <row r="39" spans="2:13" x14ac:dyDescent="0.25">
      <c r="B39" s="6"/>
      <c r="C39" s="13"/>
      <c r="D39" s="82">
        <v>27</v>
      </c>
      <c r="E39" s="24">
        <f>I38+IF(Model!$E$32="Yes",(Model!$E$31=AmortSched!C39)*Model!$E$30*Model!$E$33,0)</f>
        <v>6295917.7472203188</v>
      </c>
      <c r="F39" s="24">
        <f>-PMT(Model!$E$40/12,(Model!$E$41*12)-(D39-1),E39)</f>
        <v>31279.600373498004</v>
      </c>
      <c r="G39" s="25">
        <f>E39*Model!$E$40/12</f>
        <v>20986.392490734397</v>
      </c>
      <c r="H39" s="24">
        <f t="shared" si="0"/>
        <v>10293.207882763607</v>
      </c>
      <c r="I39" s="16">
        <f t="shared" si="1"/>
        <v>6285624.5393375549</v>
      </c>
      <c r="J39" s="127"/>
    </row>
    <row r="40" spans="2:13" x14ac:dyDescent="0.25">
      <c r="B40" s="6"/>
      <c r="C40" s="13"/>
      <c r="D40" s="82">
        <v>28</v>
      </c>
      <c r="E40" s="24">
        <f>I39+IF(Model!$E$32="Yes",(Model!$E$31=AmortSched!C40)*Model!$E$30*Model!$E$33,0)</f>
        <v>6285624.5393375549</v>
      </c>
      <c r="F40" s="24">
        <f>-PMT(Model!$E$40/12,(Model!$E$41*12)-(D40-1),E40)</f>
        <v>31279.600373498004</v>
      </c>
      <c r="G40" s="25">
        <f>E40*Model!$E$40/12</f>
        <v>20952.081797791852</v>
      </c>
      <c r="H40" s="24">
        <f t="shared" si="0"/>
        <v>10327.518575706152</v>
      </c>
      <c r="I40" s="16">
        <f t="shared" si="1"/>
        <v>6275297.0207618484</v>
      </c>
      <c r="J40" s="127"/>
    </row>
    <row r="41" spans="2:13" x14ac:dyDescent="0.25">
      <c r="B41" s="6"/>
      <c r="C41" s="13"/>
      <c r="D41" s="82">
        <v>29</v>
      </c>
      <c r="E41" s="24">
        <f>I40+IF(Model!$E$32="Yes",(Model!$E$31=AmortSched!C41)*Model!$E$30*Model!$E$33,0)</f>
        <v>6275297.0207618484</v>
      </c>
      <c r="F41" s="24">
        <f>-PMT(Model!$E$40/12,(Model!$E$41*12)-(D41-1),E41)</f>
        <v>31279.600373497997</v>
      </c>
      <c r="G41" s="25">
        <f>E41*Model!$E$40/12</f>
        <v>20917.656735872828</v>
      </c>
      <c r="H41" s="24">
        <f t="shared" si="0"/>
        <v>10361.943637625169</v>
      </c>
      <c r="I41" s="16">
        <f t="shared" si="1"/>
        <v>6264935.0771242231</v>
      </c>
      <c r="J41" s="127"/>
    </row>
    <row r="42" spans="2:13" x14ac:dyDescent="0.25">
      <c r="B42" s="6"/>
      <c r="C42" s="13"/>
      <c r="D42" s="82">
        <v>30</v>
      </c>
      <c r="E42" s="24">
        <f>I41+IF(Model!$E$32="Yes",(Model!$E$31=AmortSched!C42)*Model!$E$30*Model!$E$33,0)</f>
        <v>6264935.0771242231</v>
      </c>
      <c r="F42" s="24">
        <f>-PMT(Model!$E$40/12,(Model!$E$41*12)-(D42-1),E42)</f>
        <v>31279.600373497997</v>
      </c>
      <c r="G42" s="25">
        <f>E42*Model!$E$40/12</f>
        <v>20883.11692374741</v>
      </c>
      <c r="H42" s="24">
        <f t="shared" si="0"/>
        <v>10396.483449750587</v>
      </c>
      <c r="I42" s="16">
        <f t="shared" si="1"/>
        <v>6254538.5936744725</v>
      </c>
      <c r="J42" s="127"/>
    </row>
    <row r="43" spans="2:13" x14ac:dyDescent="0.25">
      <c r="B43" s="6"/>
      <c r="C43" s="13"/>
      <c r="D43" s="82">
        <v>31</v>
      </c>
      <c r="E43" s="24">
        <f>I42+IF(Model!$E$32="Yes",(Model!$E$31=AmortSched!C43)*Model!$E$30*Model!$E$33,0)</f>
        <v>6254538.5936744725</v>
      </c>
      <c r="F43" s="24">
        <f>-PMT(Model!$E$40/12,(Model!$E$41*12)-(D43-1),E43)</f>
        <v>31279.600373497997</v>
      </c>
      <c r="G43" s="25">
        <f>E43*Model!$E$40/12</f>
        <v>20848.461978914911</v>
      </c>
      <c r="H43" s="24">
        <f t="shared" si="0"/>
        <v>10431.138394583086</v>
      </c>
      <c r="I43" s="16">
        <f t="shared" si="1"/>
        <v>6244107.4552798895</v>
      </c>
      <c r="J43" s="127"/>
    </row>
    <row r="44" spans="2:13" x14ac:dyDescent="0.25">
      <c r="B44" s="6"/>
      <c r="C44" s="13"/>
      <c r="D44" s="82">
        <v>32</v>
      </c>
      <c r="E44" s="24">
        <f>I43+IF(Model!$E$32="Yes",(Model!$E$31=AmortSched!C44)*Model!$E$30*Model!$E$33,0)</f>
        <v>6244107.4552798895</v>
      </c>
      <c r="F44" s="24">
        <f>-PMT(Model!$E$40/12,(Model!$E$41*12)-(D44-1),E44)</f>
        <v>31279.600373498004</v>
      </c>
      <c r="G44" s="25">
        <f>E44*Model!$E$40/12</f>
        <v>20813.691517599633</v>
      </c>
      <c r="H44" s="24">
        <f t="shared" si="0"/>
        <v>10465.908855898371</v>
      </c>
      <c r="I44" s="16">
        <f t="shared" si="1"/>
        <v>6233641.5464239912</v>
      </c>
      <c r="J44" s="127"/>
    </row>
    <row r="45" spans="2:13" x14ac:dyDescent="0.25">
      <c r="B45" s="6"/>
      <c r="C45" s="13"/>
      <c r="D45" s="82">
        <v>33</v>
      </c>
      <c r="E45" s="24">
        <f>I44+IF(Model!$E$32="Yes",(Model!$E$31=AmortSched!C45)*Model!$E$30*Model!$E$33,0)</f>
        <v>6233641.5464239912</v>
      </c>
      <c r="F45" s="24">
        <f>-PMT(Model!$E$40/12,(Model!$E$41*12)-(D45-1),E45)</f>
        <v>31279.600373498004</v>
      </c>
      <c r="G45" s="25">
        <f>E45*Model!$E$40/12</f>
        <v>20778.805154746638</v>
      </c>
      <c r="H45" s="24">
        <f t="shared" si="0"/>
        <v>10500.795218751366</v>
      </c>
      <c r="I45" s="16">
        <f t="shared" si="1"/>
        <v>6223140.7512052394</v>
      </c>
      <c r="J45" s="127"/>
    </row>
    <row r="46" spans="2:13" x14ac:dyDescent="0.25">
      <c r="B46" s="6"/>
      <c r="C46" s="13"/>
      <c r="D46" s="82">
        <v>34</v>
      </c>
      <c r="E46" s="24">
        <f>I45+IF(Model!$E$32="Yes",(Model!$E$31=AmortSched!C46)*Model!$E$30*Model!$E$33,0)</f>
        <v>6223140.7512052394</v>
      </c>
      <c r="F46" s="24">
        <f>-PMT(Model!$E$40/12,(Model!$E$41*12)-(D46-1),E46)</f>
        <v>31279.600373498004</v>
      </c>
      <c r="G46" s="25">
        <f>E46*Model!$E$40/12</f>
        <v>20743.802504017465</v>
      </c>
      <c r="H46" s="24">
        <f t="shared" si="0"/>
        <v>10535.797869480539</v>
      </c>
      <c r="I46" s="16">
        <f t="shared" si="1"/>
        <v>6212604.9533357592</v>
      </c>
      <c r="J46" s="127"/>
    </row>
    <row r="47" spans="2:13" x14ac:dyDescent="0.25">
      <c r="B47" s="6"/>
      <c r="C47" s="13"/>
      <c r="D47" s="82">
        <v>35</v>
      </c>
      <c r="E47" s="24">
        <f>I46+IF(Model!$E$32="Yes",(Model!$E$31=AmortSched!C47)*Model!$E$30*Model!$E$33,0)</f>
        <v>6212604.9533357592</v>
      </c>
      <c r="F47" s="24">
        <f>-PMT(Model!$E$40/12,(Model!$E$41*12)-(D47-1),E47)</f>
        <v>31279.600373498004</v>
      </c>
      <c r="G47" s="25">
        <f>E47*Model!$E$40/12</f>
        <v>20708.683177785864</v>
      </c>
      <c r="H47" s="24">
        <f t="shared" si="0"/>
        <v>10570.91719571214</v>
      </c>
      <c r="I47" s="16">
        <f t="shared" si="1"/>
        <v>6202034.036140047</v>
      </c>
      <c r="J47" s="127"/>
    </row>
    <row r="48" spans="2:13" x14ac:dyDescent="0.25">
      <c r="B48" s="6"/>
      <c r="C48" s="13"/>
      <c r="D48" s="82">
        <v>36</v>
      </c>
      <c r="E48" s="24">
        <f>I47+IF(Model!$E$32="Yes",(Model!$E$31=AmortSched!C48)*Model!$E$30*Model!$E$33,0)</f>
        <v>6202034.036140047</v>
      </c>
      <c r="F48" s="24">
        <f>-PMT(Model!$E$40/12,(Model!$E$41*12)-(D48-1),E48)</f>
        <v>31279.600373498004</v>
      </c>
      <c r="G48" s="25">
        <f>E48*Model!$E$40/12</f>
        <v>20673.446787133489</v>
      </c>
      <c r="H48" s="24">
        <f t="shared" si="0"/>
        <v>10606.153586364515</v>
      </c>
      <c r="I48" s="16">
        <f t="shared" si="1"/>
        <v>6191427.8825536827</v>
      </c>
      <c r="J48" s="127"/>
    </row>
    <row r="49" spans="2:10" x14ac:dyDescent="0.25">
      <c r="B49" s="6"/>
      <c r="C49" s="13">
        <f>C37+1</f>
        <v>4</v>
      </c>
      <c r="D49" s="82">
        <v>37</v>
      </c>
      <c r="E49" s="24">
        <f>I48+IF(Model!$E$32="Yes",(Model!$E$31=AmortSched!C49)*Model!$E$30*Model!$E$33,0)</f>
        <v>6191427.8825536827</v>
      </c>
      <c r="F49" s="24">
        <f>-PMT(Model!$E$40/12,(Model!$E$41*12)-(D49-1),E49)</f>
        <v>31279.600373498004</v>
      </c>
      <c r="G49" s="25">
        <f>E49*Model!$E$40/12</f>
        <v>20638.092941845611</v>
      </c>
      <c r="H49" s="24">
        <f t="shared" si="0"/>
        <v>10641.507431652393</v>
      </c>
      <c r="I49" s="16">
        <f t="shared" si="1"/>
        <v>6180786.3751220303</v>
      </c>
      <c r="J49" s="127"/>
    </row>
    <row r="50" spans="2:10" x14ac:dyDescent="0.25">
      <c r="B50" s="6"/>
      <c r="C50" s="13"/>
      <c r="D50" s="82">
        <v>38</v>
      </c>
      <c r="E50" s="24">
        <f>I49+IF(Model!$E$32="Yes",(Model!$E$31=AmortSched!C50)*Model!$E$30*Model!$E$33,0)</f>
        <v>6180786.3751220303</v>
      </c>
      <c r="F50" s="24">
        <f>-PMT(Model!$E$40/12,(Model!$E$41*12)-(D50-1),E50)</f>
        <v>31279.600373497997</v>
      </c>
      <c r="G50" s="25">
        <f>E50*Model!$E$40/12</f>
        <v>20602.62125040677</v>
      </c>
      <c r="H50" s="24">
        <f t="shared" si="0"/>
        <v>10676.979123091227</v>
      </c>
      <c r="I50" s="16">
        <f t="shared" si="1"/>
        <v>6170109.3959989389</v>
      </c>
      <c r="J50" s="127"/>
    </row>
    <row r="51" spans="2:10" x14ac:dyDescent="0.25">
      <c r="B51" s="6"/>
      <c r="C51" s="13"/>
      <c r="D51" s="82">
        <v>39</v>
      </c>
      <c r="E51" s="24">
        <f>I50+IF(Model!$E$32="Yes",(Model!$E$31=AmortSched!C51)*Model!$E$30*Model!$E$33,0)</f>
        <v>6170109.3959989389</v>
      </c>
      <c r="F51" s="24">
        <f>-PMT(Model!$E$40/12,(Model!$E$41*12)-(D51-1),E51)</f>
        <v>31279.600373498004</v>
      </c>
      <c r="G51" s="25">
        <f>E51*Model!$E$40/12</f>
        <v>20567.031319996462</v>
      </c>
      <c r="H51" s="24">
        <f t="shared" si="0"/>
        <v>10712.569053501542</v>
      </c>
      <c r="I51" s="16">
        <f t="shared" si="1"/>
        <v>6159396.8269454371</v>
      </c>
      <c r="J51" s="127"/>
    </row>
    <row r="52" spans="2:10" x14ac:dyDescent="0.25">
      <c r="B52" s="6"/>
      <c r="C52" s="13"/>
      <c r="D52" s="82">
        <v>40</v>
      </c>
      <c r="E52" s="24">
        <f>I51+IF(Model!$E$32="Yes",(Model!$E$31=AmortSched!C52)*Model!$E$30*Model!$E$33,0)</f>
        <v>6159396.8269454371</v>
      </c>
      <c r="F52" s="24">
        <f>-PMT(Model!$E$40/12,(Model!$E$41*12)-(D52-1),E52)</f>
        <v>31279.600373498004</v>
      </c>
      <c r="G52" s="25">
        <f>E52*Model!$E$40/12</f>
        <v>20531.322756484791</v>
      </c>
      <c r="H52" s="24">
        <f t="shared" si="0"/>
        <v>10748.277617013213</v>
      </c>
      <c r="I52" s="16">
        <f t="shared" si="1"/>
        <v>6148648.549328424</v>
      </c>
      <c r="J52" s="127"/>
    </row>
    <row r="53" spans="2:10" x14ac:dyDescent="0.25">
      <c r="B53" s="6"/>
      <c r="C53" s="13"/>
      <c r="D53" s="82">
        <v>41</v>
      </c>
      <c r="E53" s="24">
        <f>I52+IF(Model!$E$32="Yes",(Model!$E$31=AmortSched!C53)*Model!$E$30*Model!$E$33,0)</f>
        <v>6148648.549328424</v>
      </c>
      <c r="F53" s="24">
        <f>-PMT(Model!$E$40/12,(Model!$E$41*12)-(D53-1),E53)</f>
        <v>31279.600373497997</v>
      </c>
      <c r="G53" s="25">
        <f>E53*Model!$E$40/12</f>
        <v>20495.495164428081</v>
      </c>
      <c r="H53" s="24">
        <f t="shared" si="0"/>
        <v>10784.105209069916</v>
      </c>
      <c r="I53" s="16">
        <f t="shared" si="1"/>
        <v>6137864.4441193538</v>
      </c>
      <c r="J53" s="127"/>
    </row>
    <row r="54" spans="2:10" x14ac:dyDescent="0.25">
      <c r="B54" s="6"/>
      <c r="C54" s="13"/>
      <c r="D54" s="82">
        <v>42</v>
      </c>
      <c r="E54" s="24">
        <f>I53+IF(Model!$E$32="Yes",(Model!$E$31=AmortSched!C54)*Model!$E$30*Model!$E$33,0)</f>
        <v>6137864.4441193538</v>
      </c>
      <c r="F54" s="24">
        <f>-PMT(Model!$E$40/12,(Model!$E$41*12)-(D54-1),E54)</f>
        <v>31279.600373497997</v>
      </c>
      <c r="G54" s="25">
        <f>E54*Model!$E$40/12</f>
        <v>20459.548147064514</v>
      </c>
      <c r="H54" s="24">
        <f t="shared" si="0"/>
        <v>10820.052226433483</v>
      </c>
      <c r="I54" s="16">
        <f t="shared" si="1"/>
        <v>6127044.3918929202</v>
      </c>
      <c r="J54" s="127"/>
    </row>
    <row r="55" spans="2:10" x14ac:dyDescent="0.25">
      <c r="B55" s="6"/>
      <c r="C55" s="13"/>
      <c r="D55" s="82">
        <v>43</v>
      </c>
      <c r="E55" s="24">
        <f>I54+IF(Model!$E$32="Yes",(Model!$E$31=AmortSched!C55)*Model!$E$30*Model!$E$33,0)</f>
        <v>6127044.3918929202</v>
      </c>
      <c r="F55" s="24">
        <f>-PMT(Model!$E$40/12,(Model!$E$41*12)-(D55-1),E55)</f>
        <v>31279.600373498004</v>
      </c>
      <c r="G55" s="25">
        <f>E55*Model!$E$40/12</f>
        <v>20423.481306309735</v>
      </c>
      <c r="H55" s="24">
        <f t="shared" si="0"/>
        <v>10856.119067188269</v>
      </c>
      <c r="I55" s="16">
        <f t="shared" si="1"/>
        <v>6116188.2728257319</v>
      </c>
      <c r="J55" s="127"/>
    </row>
    <row r="56" spans="2:10" x14ac:dyDescent="0.25">
      <c r="B56" s="6"/>
      <c r="C56" s="13"/>
      <c r="D56" s="82">
        <v>44</v>
      </c>
      <c r="E56" s="24">
        <f>I55+IF(Model!$E$32="Yes",(Model!$E$31=AmortSched!C56)*Model!$E$30*Model!$E$33,0)</f>
        <v>6116188.2728257319</v>
      </c>
      <c r="F56" s="24">
        <f>-PMT(Model!$E$40/12,(Model!$E$41*12)-(D56-1),E56)</f>
        <v>31279.600373497997</v>
      </c>
      <c r="G56" s="25">
        <f>E56*Model!$E$40/12</f>
        <v>20387.294242752439</v>
      </c>
      <c r="H56" s="24">
        <f t="shared" si="0"/>
        <v>10892.306130745557</v>
      </c>
      <c r="I56" s="16">
        <f t="shared" si="1"/>
        <v>6105295.9666949864</v>
      </c>
      <c r="J56" s="127"/>
    </row>
    <row r="57" spans="2:10" x14ac:dyDescent="0.25">
      <c r="B57" s="6"/>
      <c r="C57" s="13"/>
      <c r="D57" s="82">
        <v>45</v>
      </c>
      <c r="E57" s="24">
        <f>I56+IF(Model!$E$32="Yes",(Model!$E$31=AmortSched!C57)*Model!$E$30*Model!$E$33,0)</f>
        <v>6105295.9666949864</v>
      </c>
      <c r="F57" s="24">
        <f>-PMT(Model!$E$40/12,(Model!$E$41*12)-(D57-1),E57)</f>
        <v>31279.600373497997</v>
      </c>
      <c r="G57" s="25">
        <f>E57*Model!$E$40/12</f>
        <v>20350.986555649954</v>
      </c>
      <c r="H57" s="24">
        <f t="shared" si="0"/>
        <v>10928.613817848043</v>
      </c>
      <c r="I57" s="16">
        <f t="shared" si="1"/>
        <v>6094367.3528771382</v>
      </c>
      <c r="J57" s="127"/>
    </row>
    <row r="58" spans="2:10" x14ac:dyDescent="0.25">
      <c r="B58" s="6"/>
      <c r="C58" s="13"/>
      <c r="D58" s="82">
        <v>46</v>
      </c>
      <c r="E58" s="24">
        <f>I57+IF(Model!$E$32="Yes",(Model!$E$31=AmortSched!C58)*Model!$E$30*Model!$E$33,0)</f>
        <v>6094367.3528771382</v>
      </c>
      <c r="F58" s="24">
        <f>-PMT(Model!$E$40/12,(Model!$E$41*12)-(D58-1),E58)</f>
        <v>31279.600373497997</v>
      </c>
      <c r="G58" s="25">
        <f>E58*Model!$E$40/12</f>
        <v>20314.557842923794</v>
      </c>
      <c r="H58" s="24">
        <f t="shared" si="0"/>
        <v>10965.042530574203</v>
      </c>
      <c r="I58" s="16">
        <f t="shared" si="1"/>
        <v>6083402.3103465643</v>
      </c>
      <c r="J58" s="127"/>
    </row>
    <row r="59" spans="2:10" x14ac:dyDescent="0.25">
      <c r="B59" s="6"/>
      <c r="C59" s="13"/>
      <c r="D59" s="82">
        <v>47</v>
      </c>
      <c r="E59" s="24">
        <f>I58+IF(Model!$E$32="Yes",(Model!$E$31=AmortSched!C59)*Model!$E$30*Model!$E$33,0)</f>
        <v>6083402.3103465643</v>
      </c>
      <c r="F59" s="24">
        <f>-PMT(Model!$E$40/12,(Model!$E$41*12)-(D59-1),E59)</f>
        <v>31279.600373497997</v>
      </c>
      <c r="G59" s="25">
        <f>E59*Model!$E$40/12</f>
        <v>20278.007701155217</v>
      </c>
      <c r="H59" s="24">
        <f t="shared" si="0"/>
        <v>11001.59267234278</v>
      </c>
      <c r="I59" s="16">
        <f t="shared" si="1"/>
        <v>6072400.7176742218</v>
      </c>
      <c r="J59" s="127"/>
    </row>
    <row r="60" spans="2:10" x14ac:dyDescent="0.25">
      <c r="B60" s="6"/>
      <c r="C60" s="13"/>
      <c r="D60" s="82">
        <v>48</v>
      </c>
      <c r="E60" s="24">
        <f>I59+IF(Model!$E$32="Yes",(Model!$E$31=AmortSched!C60)*Model!$E$30*Model!$E$33,0)</f>
        <v>6072400.7176742218</v>
      </c>
      <c r="F60" s="24">
        <f>-PMT(Model!$E$40/12,(Model!$E$41*12)-(D60-1),E60)</f>
        <v>31279.600373497997</v>
      </c>
      <c r="G60" s="25">
        <f>E60*Model!$E$40/12</f>
        <v>20241.335725580739</v>
      </c>
      <c r="H60" s="24">
        <f t="shared" si="0"/>
        <v>11038.264647917258</v>
      </c>
      <c r="I60" s="16">
        <f t="shared" si="1"/>
        <v>6061362.453026305</v>
      </c>
      <c r="J60" s="127"/>
    </row>
    <row r="61" spans="2:10" x14ac:dyDescent="0.25">
      <c r="B61" s="6"/>
      <c r="C61" s="13">
        <f>C49+1</f>
        <v>5</v>
      </c>
      <c r="D61" s="82">
        <v>49</v>
      </c>
      <c r="E61" s="24">
        <f>I60+IF(Model!$E$32="Yes",(Model!$E$31=AmortSched!C61)*Model!$E$30*Model!$E$33,0)</f>
        <v>6061362.453026305</v>
      </c>
      <c r="F61" s="24">
        <f>-PMT(Model!$E$40/12,(Model!$E$41*12)-(D61-1),E61)</f>
        <v>31279.600373498004</v>
      </c>
      <c r="G61" s="25">
        <f>E61*Model!$E$40/12</f>
        <v>20204.541510087682</v>
      </c>
      <c r="H61" s="24">
        <f t="shared" si="0"/>
        <v>11075.058863410322</v>
      </c>
      <c r="I61" s="16">
        <f t="shared" si="1"/>
        <v>6050287.3941628942</v>
      </c>
      <c r="J61" s="127"/>
    </row>
    <row r="62" spans="2:10" x14ac:dyDescent="0.25">
      <c r="B62" s="6"/>
      <c r="C62" s="13"/>
      <c r="D62" s="82">
        <v>50</v>
      </c>
      <c r="E62" s="24">
        <f>I61+IF(Model!$E$32="Yes",(Model!$E$31=AmortSched!C62)*Model!$E$30*Model!$E$33,0)</f>
        <v>6050287.3941628942</v>
      </c>
      <c r="F62" s="24">
        <f>-PMT(Model!$E$40/12,(Model!$E$41*12)-(D62-1),E62)</f>
        <v>31279.600373497997</v>
      </c>
      <c r="G62" s="25">
        <f>E62*Model!$E$40/12</f>
        <v>20167.62464720965</v>
      </c>
      <c r="H62" s="24">
        <f t="shared" si="0"/>
        <v>11111.975726288347</v>
      </c>
      <c r="I62" s="16">
        <f t="shared" si="1"/>
        <v>6039175.4184366055</v>
      </c>
      <c r="J62" s="127"/>
    </row>
    <row r="63" spans="2:10" x14ac:dyDescent="0.25">
      <c r="B63" s="6"/>
      <c r="C63" s="13"/>
      <c r="D63" s="82">
        <v>51</v>
      </c>
      <c r="E63" s="24">
        <f>I62+IF(Model!$E$32="Yes",(Model!$E$31=AmortSched!C63)*Model!$E$30*Model!$E$33,0)</f>
        <v>6039175.4184366055</v>
      </c>
      <c r="F63" s="24">
        <f>-PMT(Model!$E$40/12,(Model!$E$41*12)-(D63-1),E63)</f>
        <v>31279.600373497997</v>
      </c>
      <c r="G63" s="25">
        <f>E63*Model!$E$40/12</f>
        <v>20130.584728122019</v>
      </c>
      <c r="H63" s="24">
        <f t="shared" si="0"/>
        <v>11149.015645375977</v>
      </c>
      <c r="I63" s="16">
        <f t="shared" si="1"/>
        <v>6028026.4027912291</v>
      </c>
      <c r="J63" s="127"/>
    </row>
    <row r="64" spans="2:10" x14ac:dyDescent="0.25">
      <c r="B64" s="6"/>
      <c r="C64" s="13"/>
      <c r="D64" s="82">
        <v>52</v>
      </c>
      <c r="E64" s="24">
        <f>I63+IF(Model!$E$32="Yes",(Model!$E$31=AmortSched!C64)*Model!$E$30*Model!$E$33,0)</f>
        <v>6028026.4027912291</v>
      </c>
      <c r="F64" s="24">
        <f>-PMT(Model!$E$40/12,(Model!$E$41*12)-(D64-1),E64)</f>
        <v>31279.600373497993</v>
      </c>
      <c r="G64" s="25">
        <f>E64*Model!$E$40/12</f>
        <v>20093.42134263743</v>
      </c>
      <c r="H64" s="24">
        <f t="shared" si="0"/>
        <v>11186.179030860563</v>
      </c>
      <c r="I64" s="16">
        <f t="shared" si="1"/>
        <v>6016840.2237603683</v>
      </c>
      <c r="J64" s="127"/>
    </row>
    <row r="65" spans="2:10" x14ac:dyDescent="0.25">
      <c r="B65" s="6"/>
      <c r="C65" s="13"/>
      <c r="D65" s="82">
        <v>53</v>
      </c>
      <c r="E65" s="24">
        <f>I64+IF(Model!$E$32="Yes",(Model!$E$31=AmortSched!C65)*Model!$E$30*Model!$E$33,0)</f>
        <v>6016840.2237603683</v>
      </c>
      <c r="F65" s="24">
        <f>-PMT(Model!$E$40/12,(Model!$E$41*12)-(D65-1),E65)</f>
        <v>31279.600373497993</v>
      </c>
      <c r="G65" s="25">
        <f>E65*Model!$E$40/12</f>
        <v>20056.134079201227</v>
      </c>
      <c r="H65" s="24">
        <f t="shared" si="0"/>
        <v>11223.466294296766</v>
      </c>
      <c r="I65" s="16">
        <f t="shared" si="1"/>
        <v>6005616.7574660713</v>
      </c>
      <c r="J65" s="127"/>
    </row>
    <row r="66" spans="2:10" x14ac:dyDescent="0.25">
      <c r="B66" s="6"/>
      <c r="C66" s="13"/>
      <c r="D66" s="82">
        <v>54</v>
      </c>
      <c r="E66" s="24">
        <f>I65+IF(Model!$E$32="Yes",(Model!$E$31=AmortSched!C66)*Model!$E$30*Model!$E$33,0)</f>
        <v>6005616.7574660713</v>
      </c>
      <c r="F66" s="24">
        <f>-PMT(Model!$E$40/12,(Model!$E$41*12)-(D66-1),E66)</f>
        <v>31279.600373497993</v>
      </c>
      <c r="G66" s="25">
        <f>E66*Model!$E$40/12</f>
        <v>20018.722524886904</v>
      </c>
      <c r="H66" s="24">
        <f t="shared" si="0"/>
        <v>11260.87784861109</v>
      </c>
      <c r="I66" s="16">
        <f t="shared" si="1"/>
        <v>5994355.8796174601</v>
      </c>
      <c r="J66" s="127"/>
    </row>
    <row r="67" spans="2:10" x14ac:dyDescent="0.25">
      <c r="B67" s="6"/>
      <c r="C67" s="13"/>
      <c r="D67" s="82">
        <v>55</v>
      </c>
      <c r="E67" s="24">
        <f>I66+IF(Model!$E$32="Yes",(Model!$E$31=AmortSched!C67)*Model!$E$30*Model!$E$33,0)</f>
        <v>5994355.8796174601</v>
      </c>
      <c r="F67" s="24">
        <f>-PMT(Model!$E$40/12,(Model!$E$41*12)-(D67-1),E67)</f>
        <v>31279.600373497993</v>
      </c>
      <c r="G67" s="25">
        <f>E67*Model!$E$40/12</f>
        <v>19981.186265391534</v>
      </c>
      <c r="H67" s="24">
        <f t="shared" si="0"/>
        <v>11298.414108106459</v>
      </c>
      <c r="I67" s="16">
        <f t="shared" si="1"/>
        <v>5983057.4655093532</v>
      </c>
      <c r="J67" s="127"/>
    </row>
    <row r="68" spans="2:10" x14ac:dyDescent="0.25">
      <c r="B68" s="6"/>
      <c r="C68" s="13"/>
      <c r="D68" s="82">
        <v>56</v>
      </c>
      <c r="E68" s="24">
        <f>I67+IF(Model!$E$32="Yes",(Model!$E$31=AmortSched!C68)*Model!$E$30*Model!$E$33,0)</f>
        <v>5983057.4655093532</v>
      </c>
      <c r="F68" s="24">
        <f>-PMT(Model!$E$40/12,(Model!$E$41*12)-(D68-1),E68)</f>
        <v>31279.600373497993</v>
      </c>
      <c r="G68" s="25">
        <f>E68*Model!$E$40/12</f>
        <v>19943.52488503118</v>
      </c>
      <c r="H68" s="24">
        <f t="shared" si="0"/>
        <v>11336.075488466813</v>
      </c>
      <c r="I68" s="16">
        <f t="shared" si="1"/>
        <v>5971721.3900208864</v>
      </c>
      <c r="J68" s="127"/>
    </row>
    <row r="69" spans="2:10" x14ac:dyDescent="0.25">
      <c r="B69" s="6"/>
      <c r="C69" s="13"/>
      <c r="D69" s="82">
        <v>57</v>
      </c>
      <c r="E69" s="24">
        <f>I68+IF(Model!$E$32="Yes",(Model!$E$31=AmortSched!C69)*Model!$E$30*Model!$E$33,0)</f>
        <v>5971721.3900208864</v>
      </c>
      <c r="F69" s="24">
        <f>-PMT(Model!$E$40/12,(Model!$E$41*12)-(D69-1),E69)</f>
        <v>31279.600373497993</v>
      </c>
      <c r="G69" s="25">
        <f>E69*Model!$E$40/12</f>
        <v>19905.737966736287</v>
      </c>
      <c r="H69" s="24">
        <f t="shared" si="0"/>
        <v>11373.862406761706</v>
      </c>
      <c r="I69" s="16">
        <f t="shared" si="1"/>
        <v>5960347.5276141251</v>
      </c>
      <c r="J69" s="127"/>
    </row>
    <row r="70" spans="2:10" x14ac:dyDescent="0.25">
      <c r="B70" s="6"/>
      <c r="C70" s="13"/>
      <c r="D70" s="82">
        <v>58</v>
      </c>
      <c r="E70" s="24">
        <f>I69+IF(Model!$E$32="Yes",(Model!$E$31=AmortSched!C70)*Model!$E$30*Model!$E$33,0)</f>
        <v>5960347.5276141251</v>
      </c>
      <c r="F70" s="24">
        <f>-PMT(Model!$E$40/12,(Model!$E$41*12)-(D70-1),E70)</f>
        <v>31279.600373497997</v>
      </c>
      <c r="G70" s="25">
        <f>E70*Model!$E$40/12</f>
        <v>19867.825092047085</v>
      </c>
      <c r="H70" s="24">
        <f t="shared" si="0"/>
        <v>11411.775281450911</v>
      </c>
      <c r="I70" s="16">
        <f t="shared" si="1"/>
        <v>5948935.7523326743</v>
      </c>
      <c r="J70" s="127"/>
    </row>
    <row r="71" spans="2:10" x14ac:dyDescent="0.25">
      <c r="B71" s="6"/>
      <c r="C71" s="13"/>
      <c r="D71" s="82">
        <v>59</v>
      </c>
      <c r="E71" s="24">
        <f>I70+IF(Model!$E$32="Yes",(Model!$E$31=AmortSched!C71)*Model!$E$30*Model!$E$33,0)</f>
        <v>5948935.7523326743</v>
      </c>
      <c r="F71" s="24">
        <f>-PMT(Model!$E$40/12,(Model!$E$41*12)-(D71-1),E71)</f>
        <v>31279.600373497993</v>
      </c>
      <c r="G71" s="25">
        <f>E71*Model!$E$40/12</f>
        <v>19829.785841108915</v>
      </c>
      <c r="H71" s="24">
        <f t="shared" si="0"/>
        <v>11449.814532389079</v>
      </c>
      <c r="I71" s="16">
        <f t="shared" si="1"/>
        <v>5937485.9378002854</v>
      </c>
      <c r="J71" s="127"/>
    </row>
    <row r="72" spans="2:10" x14ac:dyDescent="0.25">
      <c r="B72" s="6"/>
      <c r="C72" s="13"/>
      <c r="D72" s="82">
        <v>60</v>
      </c>
      <c r="E72" s="24">
        <f>I71+IF(Model!$E$32="Yes",(Model!$E$31=AmortSched!C72)*Model!$E$30*Model!$E$33,0)</f>
        <v>5937485.9378002854</v>
      </c>
      <c r="F72" s="24">
        <f>-PMT(Model!$E$40/12,(Model!$E$41*12)-(D72-1),E72)</f>
        <v>31279.600373497993</v>
      </c>
      <c r="G72" s="25">
        <f>E72*Model!$E$40/12</f>
        <v>19791.619792667618</v>
      </c>
      <c r="H72" s="24">
        <f t="shared" si="0"/>
        <v>11487.980580830375</v>
      </c>
      <c r="I72" s="16">
        <f t="shared" si="1"/>
        <v>5925997.9572194554</v>
      </c>
      <c r="J72" s="127"/>
    </row>
    <row r="73" spans="2:10" x14ac:dyDescent="0.25">
      <c r="B73" s="6"/>
      <c r="C73" s="13">
        <f>C61+1</f>
        <v>6</v>
      </c>
      <c r="D73" s="82">
        <v>61</v>
      </c>
      <c r="E73" s="24">
        <f>I72+IF(Model!$E$32="Yes",(Model!$E$31=AmortSched!C73)*Model!$E$30*Model!$E$33,0)</f>
        <v>5925997.9572194554</v>
      </c>
      <c r="F73" s="24">
        <f>-PMT(Model!$E$40/12,(Model!$E$41*12)-(D73-1),E73)</f>
        <v>31279.600373498004</v>
      </c>
      <c r="G73" s="25">
        <f>E73*Model!$E$40/12</f>
        <v>19753.326524064851</v>
      </c>
      <c r="H73" s="24">
        <f t="shared" si="0"/>
        <v>11526.273849433153</v>
      </c>
      <c r="I73" s="16">
        <f t="shared" si="1"/>
        <v>5914471.6833700221</v>
      </c>
      <c r="J73" s="127"/>
    </row>
    <row r="74" spans="2:10" x14ac:dyDescent="0.25">
      <c r="B74" s="6"/>
      <c r="C74" s="13"/>
      <c r="D74" s="82">
        <v>62</v>
      </c>
      <c r="E74" s="24">
        <f>I73+IF(Model!$E$32="Yes",(Model!$E$31=AmortSched!C74)*Model!$E$30*Model!$E$33,0)</f>
        <v>5914471.6833700221</v>
      </c>
      <c r="F74" s="24">
        <f>-PMT(Model!$E$40/12,(Model!$E$41*12)-(D74-1),E74)</f>
        <v>31279.600373497993</v>
      </c>
      <c r="G74" s="25">
        <f>E74*Model!$E$40/12</f>
        <v>19714.905611233407</v>
      </c>
      <c r="H74" s="24">
        <f t="shared" si="0"/>
        <v>11564.694762264586</v>
      </c>
      <c r="I74" s="16">
        <f t="shared" si="1"/>
        <v>5902906.9886077577</v>
      </c>
      <c r="J74" s="127"/>
    </row>
    <row r="75" spans="2:10" x14ac:dyDescent="0.25">
      <c r="B75" s="6"/>
      <c r="C75" s="13"/>
      <c r="D75" s="82">
        <v>63</v>
      </c>
      <c r="E75" s="24">
        <f>I74+IF(Model!$E$32="Yes",(Model!$E$31=AmortSched!C75)*Model!$E$30*Model!$E$33,0)</f>
        <v>5902906.9886077577</v>
      </c>
      <c r="F75" s="24">
        <f>-PMT(Model!$E$40/12,(Model!$E$41*12)-(D75-1),E75)</f>
        <v>31279.600373497993</v>
      </c>
      <c r="G75" s="25">
        <f>E75*Model!$E$40/12</f>
        <v>19676.356628692527</v>
      </c>
      <c r="H75" s="24">
        <f t="shared" si="0"/>
        <v>11603.243744805466</v>
      </c>
      <c r="I75" s="16">
        <f t="shared" si="1"/>
        <v>5891303.7448629523</v>
      </c>
      <c r="J75" s="127"/>
    </row>
    <row r="76" spans="2:10" x14ac:dyDescent="0.25">
      <c r="B76" s="6"/>
      <c r="C76" s="13"/>
      <c r="D76" s="82">
        <v>64</v>
      </c>
      <c r="E76" s="24">
        <f>I75+IF(Model!$E$32="Yes",(Model!$E$31=AmortSched!C76)*Model!$E$30*Model!$E$33,0)</f>
        <v>5891303.7448629523</v>
      </c>
      <c r="F76" s="24">
        <f>-PMT(Model!$E$40/12,(Model!$E$41*12)-(D76-1),E76)</f>
        <v>31279.600373497997</v>
      </c>
      <c r="G76" s="25">
        <f>E76*Model!$E$40/12</f>
        <v>19637.679149543175</v>
      </c>
      <c r="H76" s="24">
        <f t="shared" si="0"/>
        <v>11641.921223954821</v>
      </c>
      <c r="I76" s="16">
        <f t="shared" si="1"/>
        <v>5879661.823638997</v>
      </c>
      <c r="J76" s="127"/>
    </row>
    <row r="77" spans="2:10" x14ac:dyDescent="0.25">
      <c r="B77" s="6"/>
      <c r="C77" s="13"/>
      <c r="D77" s="82">
        <v>65</v>
      </c>
      <c r="E77" s="24">
        <f>I76+IF(Model!$E$32="Yes",(Model!$E$31=AmortSched!C77)*Model!$E$30*Model!$E$33,0)</f>
        <v>5879661.823638997</v>
      </c>
      <c r="F77" s="24">
        <f>-PMT(Model!$E$40/12,(Model!$E$41*12)-(D77-1),E77)</f>
        <v>31279.600373497993</v>
      </c>
      <c r="G77" s="25">
        <f>E77*Model!$E$40/12</f>
        <v>19598.872745463323</v>
      </c>
      <c r="H77" s="24">
        <f t="shared" si="0"/>
        <v>11680.72762803467</v>
      </c>
      <c r="I77" s="16">
        <f t="shared" si="1"/>
        <v>5867981.0960109625</v>
      </c>
      <c r="J77" s="127"/>
    </row>
    <row r="78" spans="2:10" x14ac:dyDescent="0.25">
      <c r="B78" s="6"/>
      <c r="C78" s="13"/>
      <c r="D78" s="82">
        <v>66</v>
      </c>
      <c r="E78" s="24">
        <f>I77+IF(Model!$E$32="Yes",(Model!$E$31=AmortSched!C78)*Model!$E$30*Model!$E$33,0)</f>
        <v>5867981.0960109625</v>
      </c>
      <c r="F78" s="24">
        <f>-PMT(Model!$E$40/12,(Model!$E$41*12)-(D78-1),E78)</f>
        <v>31279.600373497997</v>
      </c>
      <c r="G78" s="25">
        <f>E78*Model!$E$40/12</f>
        <v>19559.936986703211</v>
      </c>
      <c r="H78" s="24">
        <f t="shared" si="0"/>
        <v>11719.663386794786</v>
      </c>
      <c r="I78" s="16">
        <f t="shared" si="1"/>
        <v>5856261.4326241678</v>
      </c>
      <c r="J78" s="127"/>
    </row>
    <row r="79" spans="2:10" x14ac:dyDescent="0.25">
      <c r="B79" s="6"/>
      <c r="C79" s="13"/>
      <c r="D79" s="82">
        <v>67</v>
      </c>
      <c r="E79" s="24">
        <f>I78+IF(Model!$E$32="Yes",(Model!$E$31=AmortSched!C79)*Model!$E$30*Model!$E$33,0)</f>
        <v>5856261.4326241678</v>
      </c>
      <c r="F79" s="24">
        <f>-PMT(Model!$E$40/12,(Model!$E$41*12)-(D79-1),E79)</f>
        <v>31279.600373497997</v>
      </c>
      <c r="G79" s="25">
        <f>E79*Model!$E$40/12</f>
        <v>19520.871442080559</v>
      </c>
      <c r="H79" s="24">
        <f t="shared" ref="H79:H142" si="2">F79-G79</f>
        <v>11758.728931417438</v>
      </c>
      <c r="I79" s="16">
        <f t="shared" ref="I79:I142" si="3">E79-H79</f>
        <v>5844502.7036927501</v>
      </c>
      <c r="J79" s="127"/>
    </row>
    <row r="80" spans="2:10" x14ac:dyDescent="0.25">
      <c r="B80" s="6"/>
      <c r="C80" s="13"/>
      <c r="D80" s="82">
        <v>68</v>
      </c>
      <c r="E80" s="24">
        <f>I79+IF(Model!$E$32="Yes",(Model!$E$31=AmortSched!C80)*Model!$E$30*Model!$E$33,0)</f>
        <v>5844502.7036927501</v>
      </c>
      <c r="F80" s="24">
        <f>-PMT(Model!$E$40/12,(Model!$E$41*12)-(D80-1),E80)</f>
        <v>31279.600373497993</v>
      </c>
      <c r="G80" s="25">
        <f>E80*Model!$E$40/12</f>
        <v>19481.675678975833</v>
      </c>
      <c r="H80" s="24">
        <f t="shared" si="2"/>
        <v>11797.92469452216</v>
      </c>
      <c r="I80" s="16">
        <f t="shared" si="3"/>
        <v>5832704.7789982278</v>
      </c>
      <c r="J80" s="127"/>
    </row>
    <row r="81" spans="2:10" x14ac:dyDescent="0.25">
      <c r="B81" s="6"/>
      <c r="C81" s="13"/>
      <c r="D81" s="82">
        <v>69</v>
      </c>
      <c r="E81" s="24">
        <f>I80+IF(Model!$E$32="Yes",(Model!$E$31=AmortSched!C81)*Model!$E$30*Model!$E$33,0)</f>
        <v>5832704.7789982278</v>
      </c>
      <c r="F81" s="24">
        <f>-PMT(Model!$E$40/12,(Model!$E$41*12)-(D81-1),E81)</f>
        <v>31279.600373497997</v>
      </c>
      <c r="G81" s="25">
        <f>E81*Model!$E$40/12</f>
        <v>19442.349263327425</v>
      </c>
      <c r="H81" s="24">
        <f t="shared" si="2"/>
        <v>11837.251110170571</v>
      </c>
      <c r="I81" s="16">
        <f t="shared" si="3"/>
        <v>5820867.5278880568</v>
      </c>
      <c r="J81" s="127"/>
    </row>
    <row r="82" spans="2:10" x14ac:dyDescent="0.25">
      <c r="B82" s="6"/>
      <c r="C82" s="13"/>
      <c r="D82" s="82">
        <v>70</v>
      </c>
      <c r="E82" s="24">
        <f>I81+IF(Model!$E$32="Yes",(Model!$E$31=AmortSched!C82)*Model!$E$30*Model!$E$33,0)</f>
        <v>5820867.5278880568</v>
      </c>
      <c r="F82" s="24">
        <f>-PMT(Model!$E$40/12,(Model!$E$41*12)-(D82-1),E82)</f>
        <v>31279.600373497993</v>
      </c>
      <c r="G82" s="25">
        <f>E82*Model!$E$40/12</f>
        <v>19402.891759626855</v>
      </c>
      <c r="H82" s="24">
        <f t="shared" si="2"/>
        <v>11876.708613871138</v>
      </c>
      <c r="I82" s="16">
        <f t="shared" si="3"/>
        <v>5808990.8192741852</v>
      </c>
      <c r="J82" s="127"/>
    </row>
    <row r="83" spans="2:10" x14ac:dyDescent="0.25">
      <c r="B83" s="6"/>
      <c r="C83" s="13"/>
      <c r="D83" s="82">
        <v>71</v>
      </c>
      <c r="E83" s="24">
        <f>I82+IF(Model!$E$32="Yes",(Model!$E$31=AmortSched!C83)*Model!$E$30*Model!$E$33,0)</f>
        <v>5808990.8192741852</v>
      </c>
      <c r="F83" s="24">
        <f>-PMT(Model!$E$40/12,(Model!$E$41*12)-(D83-1),E83)</f>
        <v>31279.600373497986</v>
      </c>
      <c r="G83" s="25">
        <f>E83*Model!$E$40/12</f>
        <v>19363.302730913951</v>
      </c>
      <c r="H83" s="24">
        <f t="shared" si="2"/>
        <v>11916.297642584035</v>
      </c>
      <c r="I83" s="16">
        <f t="shared" si="3"/>
        <v>5797074.5216316013</v>
      </c>
      <c r="J83" s="127"/>
    </row>
    <row r="84" spans="2:10" x14ac:dyDescent="0.25">
      <c r="B84" s="6"/>
      <c r="C84" s="13"/>
      <c r="D84" s="82">
        <v>72</v>
      </c>
      <c r="E84" s="24">
        <f>I83+IF(Model!$E$32="Yes",(Model!$E$31=AmortSched!C84)*Model!$E$30*Model!$E$33,0)</f>
        <v>5797074.5216316013</v>
      </c>
      <c r="F84" s="24">
        <f>-PMT(Model!$E$40/12,(Model!$E$41*12)-(D84-1),E84)</f>
        <v>31279.600373497986</v>
      </c>
      <c r="G84" s="25">
        <f>E84*Model!$E$40/12</f>
        <v>19323.581738772005</v>
      </c>
      <c r="H84" s="24">
        <f t="shared" si="2"/>
        <v>11956.018634725981</v>
      </c>
      <c r="I84" s="16">
        <f t="shared" si="3"/>
        <v>5785118.502996875</v>
      </c>
      <c r="J84" s="127"/>
    </row>
    <row r="85" spans="2:10" x14ac:dyDescent="0.25">
      <c r="B85" s="6"/>
      <c r="C85" s="13">
        <f>C73+1</f>
        <v>7</v>
      </c>
      <c r="D85" s="82">
        <v>73</v>
      </c>
      <c r="E85" s="24">
        <f>I84+IF(Model!$E$32="Yes",(Model!$E$31=AmortSched!C85)*Model!$E$30*Model!$E$33,0)</f>
        <v>5785118.502996875</v>
      </c>
      <c r="F85" s="24">
        <f>-PMT(Model!$E$40/12,(Model!$E$41*12)-(D85-1),E85)</f>
        <v>31279.600373497986</v>
      </c>
      <c r="G85" s="25">
        <f>E85*Model!$E$40/12</f>
        <v>19283.728343322917</v>
      </c>
      <c r="H85" s="24">
        <f t="shared" si="2"/>
        <v>11995.872030175069</v>
      </c>
      <c r="I85" s="16">
        <f t="shared" si="3"/>
        <v>5773122.6309666997</v>
      </c>
      <c r="J85" s="127"/>
    </row>
    <row r="86" spans="2:10" x14ac:dyDescent="0.25">
      <c r="B86" s="6"/>
      <c r="C86" s="13"/>
      <c r="D86" s="82">
        <v>74</v>
      </c>
      <c r="E86" s="24">
        <f>I85+IF(Model!$E$32="Yes",(Model!$E$31=AmortSched!C86)*Model!$E$30*Model!$E$33,0)</f>
        <v>5773122.6309666997</v>
      </c>
      <c r="F86" s="24">
        <f>-PMT(Model!$E$40/12,(Model!$E$41*12)-(D86-1),E86)</f>
        <v>31279.600373497986</v>
      </c>
      <c r="G86" s="25">
        <f>E86*Model!$E$40/12</f>
        <v>19243.742103222332</v>
      </c>
      <c r="H86" s="24">
        <f t="shared" si="2"/>
        <v>12035.858270275654</v>
      </c>
      <c r="I86" s="16">
        <f t="shared" si="3"/>
        <v>5761086.7726964243</v>
      </c>
      <c r="J86" s="127"/>
    </row>
    <row r="87" spans="2:10" x14ac:dyDescent="0.25">
      <c r="B87" s="6"/>
      <c r="C87" s="13"/>
      <c r="D87" s="82">
        <v>75</v>
      </c>
      <c r="E87" s="24">
        <f>I86+IF(Model!$E$32="Yes",(Model!$E$31=AmortSched!C87)*Model!$E$30*Model!$E$33,0)</f>
        <v>5761086.7726964243</v>
      </c>
      <c r="F87" s="24">
        <f>-PMT(Model!$E$40/12,(Model!$E$41*12)-(D87-1),E87)</f>
        <v>31279.600373497986</v>
      </c>
      <c r="G87" s="25">
        <f>E87*Model!$E$40/12</f>
        <v>19203.622575654746</v>
      </c>
      <c r="H87" s="24">
        <f t="shared" si="2"/>
        <v>12075.977797843239</v>
      </c>
      <c r="I87" s="16">
        <f t="shared" si="3"/>
        <v>5749010.7948985808</v>
      </c>
      <c r="J87" s="127"/>
    </row>
    <row r="88" spans="2:10" x14ac:dyDescent="0.25">
      <c r="B88" s="6"/>
      <c r="C88" s="13"/>
      <c r="D88" s="82">
        <v>76</v>
      </c>
      <c r="E88" s="24">
        <f>I87+IF(Model!$E$32="Yes",(Model!$E$31=AmortSched!C88)*Model!$E$30*Model!$E$33,0)</f>
        <v>5749010.7948985808</v>
      </c>
      <c r="F88" s="24">
        <f>-PMT(Model!$E$40/12,(Model!$E$41*12)-(D88-1),E88)</f>
        <v>31279.600373497986</v>
      </c>
      <c r="G88" s="25">
        <f>E88*Model!$E$40/12</f>
        <v>19163.369316328604</v>
      </c>
      <c r="H88" s="24">
        <f t="shared" si="2"/>
        <v>12116.231057169382</v>
      </c>
      <c r="I88" s="16">
        <f t="shared" si="3"/>
        <v>5736894.5638414118</v>
      </c>
      <c r="J88" s="127"/>
    </row>
    <row r="89" spans="2:10" x14ac:dyDescent="0.25">
      <c r="B89" s="6"/>
      <c r="C89" s="13"/>
      <c r="D89" s="82">
        <v>77</v>
      </c>
      <c r="E89" s="24">
        <f>I88+IF(Model!$E$32="Yes",(Model!$E$31=AmortSched!C89)*Model!$E$30*Model!$E$33,0)</f>
        <v>5736894.5638414118</v>
      </c>
      <c r="F89" s="24">
        <f>-PMT(Model!$E$40/12,(Model!$E$41*12)-(D89-1),E89)</f>
        <v>31279.600373497993</v>
      </c>
      <c r="G89" s="25">
        <f>E89*Model!$E$40/12</f>
        <v>19122.981879471376</v>
      </c>
      <c r="H89" s="24">
        <f t="shared" si="2"/>
        <v>12156.618494026618</v>
      </c>
      <c r="I89" s="16">
        <f t="shared" si="3"/>
        <v>5724737.9453473855</v>
      </c>
      <c r="J89" s="127"/>
    </row>
    <row r="90" spans="2:10" x14ac:dyDescent="0.25">
      <c r="B90" s="6"/>
      <c r="C90" s="13"/>
      <c r="D90" s="82">
        <v>78</v>
      </c>
      <c r="E90" s="24">
        <f>I89+IF(Model!$E$32="Yes",(Model!$E$31=AmortSched!C90)*Model!$E$30*Model!$E$33,0)</f>
        <v>5724737.9453473855</v>
      </c>
      <c r="F90" s="24">
        <f>-PMT(Model!$E$40/12,(Model!$E$41*12)-(D90-1),E90)</f>
        <v>31279.600373497993</v>
      </c>
      <c r="G90" s="25">
        <f>E90*Model!$E$40/12</f>
        <v>19082.45981782462</v>
      </c>
      <c r="H90" s="24">
        <f t="shared" si="2"/>
        <v>12197.140555673373</v>
      </c>
      <c r="I90" s="16">
        <f t="shared" si="3"/>
        <v>5712540.8047917122</v>
      </c>
      <c r="J90" s="127"/>
    </row>
    <row r="91" spans="2:10" x14ac:dyDescent="0.25">
      <c r="B91" s="6"/>
      <c r="C91" s="13"/>
      <c r="D91" s="82">
        <v>79</v>
      </c>
      <c r="E91" s="24">
        <f>I90+IF(Model!$E$32="Yes",(Model!$E$31=AmortSched!C91)*Model!$E$30*Model!$E$33,0)</f>
        <v>5712540.8047917122</v>
      </c>
      <c r="F91" s="24">
        <f>-PMT(Model!$E$40/12,(Model!$E$41*12)-(D91-1),E91)</f>
        <v>31279.600373497993</v>
      </c>
      <c r="G91" s="25">
        <f>E91*Model!$E$40/12</f>
        <v>19041.802682639041</v>
      </c>
      <c r="H91" s="24">
        <f t="shared" si="2"/>
        <v>12237.797690858952</v>
      </c>
      <c r="I91" s="16">
        <f t="shared" si="3"/>
        <v>5700303.0071008531</v>
      </c>
      <c r="J91" s="127"/>
    </row>
    <row r="92" spans="2:10" x14ac:dyDescent="0.25">
      <c r="B92" s="6"/>
      <c r="C92" s="13"/>
      <c r="D92" s="82">
        <v>80</v>
      </c>
      <c r="E92" s="24">
        <f>I91+IF(Model!$E$32="Yes",(Model!$E$31=AmortSched!C92)*Model!$E$30*Model!$E$33,0)</f>
        <v>5700303.0071008531</v>
      </c>
      <c r="F92" s="24">
        <f>-PMT(Model!$E$40/12,(Model!$E$41*12)-(D92-1),E92)</f>
        <v>31279.600373497993</v>
      </c>
      <c r="G92" s="25">
        <f>E92*Model!$E$40/12</f>
        <v>19001.010023669511</v>
      </c>
      <c r="H92" s="24">
        <f t="shared" si="2"/>
        <v>12278.590349828482</v>
      </c>
      <c r="I92" s="16">
        <f t="shared" si="3"/>
        <v>5688024.4167510243</v>
      </c>
      <c r="J92" s="127"/>
    </row>
    <row r="93" spans="2:10" x14ac:dyDescent="0.25">
      <c r="B93" s="6"/>
      <c r="C93" s="13"/>
      <c r="D93" s="82">
        <v>81</v>
      </c>
      <c r="E93" s="24">
        <f>I92+IF(Model!$E$32="Yes",(Model!$E$31=AmortSched!C93)*Model!$E$30*Model!$E$33,0)</f>
        <v>5688024.4167510243</v>
      </c>
      <c r="F93" s="24">
        <f>-PMT(Model!$E$40/12,(Model!$E$41*12)-(D93-1),E93)</f>
        <v>31279.600373497979</v>
      </c>
      <c r="G93" s="25">
        <f>E93*Model!$E$40/12</f>
        <v>18960.081389170082</v>
      </c>
      <c r="H93" s="24">
        <f t="shared" si="2"/>
        <v>12319.518984327897</v>
      </c>
      <c r="I93" s="16">
        <f t="shared" si="3"/>
        <v>5675704.8977666963</v>
      </c>
      <c r="J93" s="127"/>
    </row>
    <row r="94" spans="2:10" x14ac:dyDescent="0.25">
      <c r="B94" s="6"/>
      <c r="C94" s="13"/>
      <c r="D94" s="82">
        <v>82</v>
      </c>
      <c r="E94" s="24">
        <f>I93+IF(Model!$E$32="Yes",(Model!$E$31=AmortSched!C94)*Model!$E$30*Model!$E$33,0)</f>
        <v>5675704.8977666963</v>
      </c>
      <c r="F94" s="24">
        <f>-PMT(Model!$E$40/12,(Model!$E$41*12)-(D94-1),E94)</f>
        <v>31279.600373497993</v>
      </c>
      <c r="G94" s="25">
        <f>E94*Model!$E$40/12</f>
        <v>18919.016325888988</v>
      </c>
      <c r="H94" s="24">
        <f t="shared" si="2"/>
        <v>12360.584047609005</v>
      </c>
      <c r="I94" s="16">
        <f t="shared" si="3"/>
        <v>5663344.3137190873</v>
      </c>
      <c r="J94" s="127"/>
    </row>
    <row r="95" spans="2:10" x14ac:dyDescent="0.25">
      <c r="B95" s="6"/>
      <c r="C95" s="13"/>
      <c r="D95" s="82">
        <v>83</v>
      </c>
      <c r="E95" s="24">
        <f>I94+IF(Model!$E$32="Yes",(Model!$E$31=AmortSched!C95)*Model!$E$30*Model!$E$33,0)</f>
        <v>5663344.3137190873</v>
      </c>
      <c r="F95" s="24">
        <f>-PMT(Model!$E$40/12,(Model!$E$41*12)-(D95-1),E95)</f>
        <v>31279.600373497993</v>
      </c>
      <c r="G95" s="25">
        <f>E95*Model!$E$40/12</f>
        <v>18877.814379063624</v>
      </c>
      <c r="H95" s="24">
        <f t="shared" si="2"/>
        <v>12401.785994434369</v>
      </c>
      <c r="I95" s="16">
        <f t="shared" si="3"/>
        <v>5650942.5277246526</v>
      </c>
      <c r="J95" s="127"/>
    </row>
    <row r="96" spans="2:10" x14ac:dyDescent="0.25">
      <c r="B96" s="6"/>
      <c r="C96" s="13"/>
      <c r="D96" s="82">
        <v>84</v>
      </c>
      <c r="E96" s="24">
        <f>I95+IF(Model!$E$32="Yes",(Model!$E$31=AmortSched!C96)*Model!$E$30*Model!$E$33,0)</f>
        <v>5650942.5277246526</v>
      </c>
      <c r="F96" s="24">
        <f>-PMT(Model!$E$40/12,(Model!$E$41*12)-(D96-1),E96)</f>
        <v>31279.600373497986</v>
      </c>
      <c r="G96" s="25">
        <f>E96*Model!$E$40/12</f>
        <v>18836.475092415509</v>
      </c>
      <c r="H96" s="24">
        <f t="shared" si="2"/>
        <v>12443.125281082477</v>
      </c>
      <c r="I96" s="16">
        <f t="shared" si="3"/>
        <v>5638499.4024435701</v>
      </c>
      <c r="J96" s="127"/>
    </row>
    <row r="97" spans="2:10" x14ac:dyDescent="0.25">
      <c r="B97" s="6"/>
      <c r="C97" s="13">
        <f>C85+1</f>
        <v>8</v>
      </c>
      <c r="D97" s="82">
        <v>85</v>
      </c>
      <c r="E97" s="24">
        <f>I96+IF(Model!$E$32="Yes",(Model!$E$31=AmortSched!C97)*Model!$E$30*Model!$E$33,0)</f>
        <v>5638499.4024435701</v>
      </c>
      <c r="F97" s="24">
        <f>-PMT(Model!$E$40/12,(Model!$E$41*12)-(D97-1),E97)</f>
        <v>31279.600373497986</v>
      </c>
      <c r="G97" s="25">
        <f>E97*Model!$E$40/12</f>
        <v>18794.998008145234</v>
      </c>
      <c r="H97" s="24">
        <f t="shared" si="2"/>
        <v>12484.602365352752</v>
      </c>
      <c r="I97" s="16">
        <f t="shared" si="3"/>
        <v>5626014.8000782169</v>
      </c>
      <c r="J97" s="127"/>
    </row>
    <row r="98" spans="2:10" x14ac:dyDescent="0.25">
      <c r="B98" s="6"/>
      <c r="C98" s="13"/>
      <c r="D98" s="82">
        <v>86</v>
      </c>
      <c r="E98" s="24">
        <f>I97+IF(Model!$E$32="Yes",(Model!$E$31=AmortSched!C98)*Model!$E$30*Model!$E$33,0)</f>
        <v>5626014.8000782169</v>
      </c>
      <c r="F98" s="24">
        <f>-PMT(Model!$E$40/12,(Model!$E$41*12)-(D98-1),E98)</f>
        <v>31279.600373497979</v>
      </c>
      <c r="G98" s="25">
        <f>E98*Model!$E$40/12</f>
        <v>18753.382666927391</v>
      </c>
      <c r="H98" s="24">
        <f t="shared" si="2"/>
        <v>12526.217706570587</v>
      </c>
      <c r="I98" s="16">
        <f t="shared" si="3"/>
        <v>5613488.5823716465</v>
      </c>
      <c r="J98" s="127"/>
    </row>
    <row r="99" spans="2:10" x14ac:dyDescent="0.25">
      <c r="B99" s="6"/>
      <c r="C99" s="13"/>
      <c r="D99" s="82">
        <v>87</v>
      </c>
      <c r="E99" s="24">
        <f>I98+IF(Model!$E$32="Yes",(Model!$E$31=AmortSched!C99)*Model!$E$30*Model!$E$33,0)</f>
        <v>5613488.5823716465</v>
      </c>
      <c r="F99" s="24">
        <f>-PMT(Model!$E$40/12,(Model!$E$41*12)-(D99-1),E99)</f>
        <v>31279.600373497986</v>
      </c>
      <c r="G99" s="25">
        <f>E99*Model!$E$40/12</f>
        <v>18711.628607905488</v>
      </c>
      <c r="H99" s="24">
        <f t="shared" si="2"/>
        <v>12567.971765592498</v>
      </c>
      <c r="I99" s="16">
        <f t="shared" si="3"/>
        <v>5600920.6106060538</v>
      </c>
      <c r="J99" s="127"/>
    </row>
    <row r="100" spans="2:10" x14ac:dyDescent="0.25">
      <c r="B100" s="6"/>
      <c r="C100" s="13"/>
      <c r="D100" s="82">
        <v>88</v>
      </c>
      <c r="E100" s="24">
        <f>I99+IF(Model!$E$32="Yes",(Model!$E$31=AmortSched!C100)*Model!$E$30*Model!$E$33,0)</f>
        <v>5600920.6106060538</v>
      </c>
      <c r="F100" s="24">
        <f>-PMT(Model!$E$40/12,(Model!$E$41*12)-(D100-1),E100)</f>
        <v>31279.600373497986</v>
      </c>
      <c r="G100" s="25">
        <f>E100*Model!$E$40/12</f>
        <v>18669.735368686848</v>
      </c>
      <c r="H100" s="24">
        <f t="shared" si="2"/>
        <v>12609.865004811138</v>
      </c>
      <c r="I100" s="16">
        <f t="shared" si="3"/>
        <v>5588310.7456012424</v>
      </c>
      <c r="J100" s="127"/>
    </row>
    <row r="101" spans="2:10" x14ac:dyDescent="0.25">
      <c r="B101" s="6"/>
      <c r="C101" s="13"/>
      <c r="D101" s="82">
        <v>89</v>
      </c>
      <c r="E101" s="24">
        <f>I100+IF(Model!$E$32="Yes",(Model!$E$31=AmortSched!C101)*Model!$E$30*Model!$E$33,0)</f>
        <v>5588310.7456012424</v>
      </c>
      <c r="F101" s="24">
        <f>-PMT(Model!$E$40/12,(Model!$E$41*12)-(D101-1),E101)</f>
        <v>31279.600373497986</v>
      </c>
      <c r="G101" s="25">
        <f>E101*Model!$E$40/12</f>
        <v>18627.702485337475</v>
      </c>
      <c r="H101" s="24">
        <f t="shared" si="2"/>
        <v>12651.897888160511</v>
      </c>
      <c r="I101" s="16">
        <f t="shared" si="3"/>
        <v>5575658.8477130821</v>
      </c>
      <c r="J101" s="127"/>
    </row>
    <row r="102" spans="2:10" x14ac:dyDescent="0.25">
      <c r="B102" s="6"/>
      <c r="C102" s="13"/>
      <c r="D102" s="82">
        <v>90</v>
      </c>
      <c r="E102" s="24">
        <f>I101+IF(Model!$E$32="Yes",(Model!$E$31=AmortSched!C102)*Model!$E$30*Model!$E$33,0)</f>
        <v>5575658.8477130821</v>
      </c>
      <c r="F102" s="24">
        <f>-PMT(Model!$E$40/12,(Model!$E$41*12)-(D102-1),E102)</f>
        <v>31279.600373497979</v>
      </c>
      <c r="G102" s="25">
        <f>E102*Model!$E$40/12</f>
        <v>18585.52949237694</v>
      </c>
      <c r="H102" s="24">
        <f t="shared" si="2"/>
        <v>12694.070881121039</v>
      </c>
      <c r="I102" s="16">
        <f t="shared" si="3"/>
        <v>5562964.7768319612</v>
      </c>
      <c r="J102" s="127"/>
    </row>
    <row r="103" spans="2:10" x14ac:dyDescent="0.25">
      <c r="B103" s="6"/>
      <c r="C103" s="13"/>
      <c r="D103" s="82">
        <v>91</v>
      </c>
      <c r="E103" s="24">
        <f>I102+IF(Model!$E$32="Yes",(Model!$E$31=AmortSched!C103)*Model!$E$30*Model!$E$33,0)</f>
        <v>5562964.7768319612</v>
      </c>
      <c r="F103" s="24">
        <f>-PMT(Model!$E$40/12,(Model!$E$41*12)-(D103-1),E103)</f>
        <v>31279.600373497986</v>
      </c>
      <c r="G103" s="25">
        <f>E103*Model!$E$40/12</f>
        <v>18543.215922773205</v>
      </c>
      <c r="H103" s="24">
        <f t="shared" si="2"/>
        <v>12736.384450724781</v>
      </c>
      <c r="I103" s="16">
        <f t="shared" si="3"/>
        <v>5550228.3923812369</v>
      </c>
      <c r="J103" s="127"/>
    </row>
    <row r="104" spans="2:10" x14ac:dyDescent="0.25">
      <c r="B104" s="6"/>
      <c r="C104" s="13"/>
      <c r="D104" s="82">
        <v>92</v>
      </c>
      <c r="E104" s="24">
        <f>I103+IF(Model!$E$32="Yes",(Model!$E$31=AmortSched!C104)*Model!$E$30*Model!$E$33,0)</f>
        <v>5550228.3923812369</v>
      </c>
      <c r="F104" s="24">
        <f>-PMT(Model!$E$40/12,(Model!$E$41*12)-(D104-1),E104)</f>
        <v>31279.600373497986</v>
      </c>
      <c r="G104" s="25">
        <f>E104*Model!$E$40/12</f>
        <v>18500.761307937457</v>
      </c>
      <c r="H104" s="24">
        <f t="shared" si="2"/>
        <v>12778.839065560529</v>
      </c>
      <c r="I104" s="16">
        <f t="shared" si="3"/>
        <v>5537449.5533156767</v>
      </c>
      <c r="J104" s="127"/>
    </row>
    <row r="105" spans="2:10" x14ac:dyDescent="0.25">
      <c r="B105" s="6"/>
      <c r="C105" s="13"/>
      <c r="D105" s="82">
        <v>93</v>
      </c>
      <c r="E105" s="24">
        <f>I104+IF(Model!$E$32="Yes",(Model!$E$31=AmortSched!C105)*Model!$E$30*Model!$E$33,0)</f>
        <v>5537449.5533156767</v>
      </c>
      <c r="F105" s="24">
        <f>-PMT(Model!$E$40/12,(Model!$E$41*12)-(D105-1),E105)</f>
        <v>31279.600373497986</v>
      </c>
      <c r="G105" s="25">
        <f>E105*Model!$E$40/12</f>
        <v>18458.165177718922</v>
      </c>
      <c r="H105" s="24">
        <f t="shared" si="2"/>
        <v>12821.435195779064</v>
      </c>
      <c r="I105" s="16">
        <f t="shared" si="3"/>
        <v>5524628.1181198973</v>
      </c>
      <c r="J105" s="127"/>
    </row>
    <row r="106" spans="2:10" x14ac:dyDescent="0.25">
      <c r="B106" s="6"/>
      <c r="C106" s="13"/>
      <c r="D106" s="82">
        <v>94</v>
      </c>
      <c r="E106" s="24">
        <f>I105+IF(Model!$E$32="Yes",(Model!$E$31=AmortSched!C106)*Model!$E$30*Model!$E$33,0)</f>
        <v>5524628.1181198973</v>
      </c>
      <c r="F106" s="24">
        <f>-PMT(Model!$E$40/12,(Model!$E$41*12)-(D106-1),E106)</f>
        <v>31279.600373497997</v>
      </c>
      <c r="G106" s="25">
        <f>E106*Model!$E$40/12</f>
        <v>18415.427060399659</v>
      </c>
      <c r="H106" s="24">
        <f t="shared" si="2"/>
        <v>12864.173313098338</v>
      </c>
      <c r="I106" s="16">
        <f t="shared" si="3"/>
        <v>5511763.9448067993</v>
      </c>
      <c r="J106" s="127"/>
    </row>
    <row r="107" spans="2:10" x14ac:dyDescent="0.25">
      <c r="B107" s="6"/>
      <c r="C107" s="13"/>
      <c r="D107" s="82">
        <v>95</v>
      </c>
      <c r="E107" s="24">
        <f>I106+IF(Model!$E$32="Yes",(Model!$E$31=AmortSched!C107)*Model!$E$30*Model!$E$33,0)</f>
        <v>5511763.9448067993</v>
      </c>
      <c r="F107" s="24">
        <f>-PMT(Model!$E$40/12,(Model!$E$41*12)-(D107-1),E107)</f>
        <v>31279.600373497993</v>
      </c>
      <c r="G107" s="25">
        <f>E107*Model!$E$40/12</f>
        <v>18372.546482689333</v>
      </c>
      <c r="H107" s="24">
        <f t="shared" si="2"/>
        <v>12907.05389080866</v>
      </c>
      <c r="I107" s="16">
        <f t="shared" si="3"/>
        <v>5498856.8909159908</v>
      </c>
      <c r="J107" s="127"/>
    </row>
    <row r="108" spans="2:10" x14ac:dyDescent="0.25">
      <c r="B108" s="6"/>
      <c r="C108" s="13"/>
      <c r="D108" s="82">
        <v>96</v>
      </c>
      <c r="E108" s="24">
        <f>I107+IF(Model!$E$32="Yes",(Model!$E$31=AmortSched!C108)*Model!$E$30*Model!$E$33,0)</f>
        <v>5498856.8909159908</v>
      </c>
      <c r="F108" s="24">
        <f>-PMT(Model!$E$40/12,(Model!$E$41*12)-(D108-1),E108)</f>
        <v>31279.600373497997</v>
      </c>
      <c r="G108" s="25">
        <f>E108*Model!$E$40/12</f>
        <v>18329.522969719972</v>
      </c>
      <c r="H108" s="24">
        <f t="shared" si="2"/>
        <v>12950.077403778025</v>
      </c>
      <c r="I108" s="16">
        <f t="shared" si="3"/>
        <v>5485906.8135122126</v>
      </c>
      <c r="J108" s="127"/>
    </row>
    <row r="109" spans="2:10" x14ac:dyDescent="0.25">
      <c r="B109" s="6"/>
      <c r="C109" s="13">
        <f>C97+1</f>
        <v>9</v>
      </c>
      <c r="D109" s="82">
        <v>97</v>
      </c>
      <c r="E109" s="24">
        <f>I108+IF(Model!$E$32="Yes",(Model!$E$31=AmortSched!C109)*Model!$E$30*Model!$E$33,0)</f>
        <v>5485906.8135122126</v>
      </c>
      <c r="F109" s="24">
        <f>-PMT(Model!$E$40/12,(Model!$E$41*12)-(D109-1),E109)</f>
        <v>31279.600373497997</v>
      </c>
      <c r="G109" s="25">
        <f>E109*Model!$E$40/12</f>
        <v>18286.356045040709</v>
      </c>
      <c r="H109" s="24">
        <f t="shared" si="2"/>
        <v>12993.244328457287</v>
      </c>
      <c r="I109" s="16">
        <f t="shared" si="3"/>
        <v>5472913.5691837557</v>
      </c>
      <c r="J109" s="127"/>
    </row>
    <row r="110" spans="2:10" x14ac:dyDescent="0.25">
      <c r="B110" s="6"/>
      <c r="C110" s="13"/>
      <c r="D110" s="82">
        <v>98</v>
      </c>
      <c r="E110" s="24">
        <f>I109+IF(Model!$E$32="Yes",(Model!$E$31=AmortSched!C110)*Model!$E$30*Model!$E$33,0)</f>
        <v>5472913.5691837557</v>
      </c>
      <c r="F110" s="24">
        <f>-PMT(Model!$E$40/12,(Model!$E$41*12)-(D110-1),E110)</f>
        <v>31279.600373497986</v>
      </c>
      <c r="G110" s="25">
        <f>E110*Model!$E$40/12</f>
        <v>18243.045230612519</v>
      </c>
      <c r="H110" s="24">
        <f t="shared" si="2"/>
        <v>13036.555142885467</v>
      </c>
      <c r="I110" s="16">
        <f t="shared" si="3"/>
        <v>5459877.0140408706</v>
      </c>
      <c r="J110" s="127"/>
    </row>
    <row r="111" spans="2:10" x14ac:dyDescent="0.25">
      <c r="B111" s="6"/>
      <c r="C111" s="13"/>
      <c r="D111" s="82">
        <v>99</v>
      </c>
      <c r="E111" s="24">
        <f>I110+IF(Model!$E$32="Yes",(Model!$E$31=AmortSched!C111)*Model!$E$30*Model!$E$33,0)</f>
        <v>5459877.0140408706</v>
      </c>
      <c r="F111" s="24">
        <f>-PMT(Model!$E$40/12,(Model!$E$41*12)-(D111-1),E111)</f>
        <v>31279.600373497993</v>
      </c>
      <c r="G111" s="25">
        <f>E111*Model!$E$40/12</f>
        <v>18199.590046802903</v>
      </c>
      <c r="H111" s="24">
        <f t="shared" si="2"/>
        <v>13080.01032669509</v>
      </c>
      <c r="I111" s="16">
        <f t="shared" si="3"/>
        <v>5446797.0037141759</v>
      </c>
      <c r="J111" s="127"/>
    </row>
    <row r="112" spans="2:10" x14ac:dyDescent="0.25">
      <c r="B112" s="6"/>
      <c r="C112" s="13"/>
      <c r="D112" s="82">
        <v>100</v>
      </c>
      <c r="E112" s="24">
        <f>I111+IF(Model!$E$32="Yes",(Model!$E$31=AmortSched!C112)*Model!$E$30*Model!$E$33,0)</f>
        <v>5446797.0037141759</v>
      </c>
      <c r="F112" s="24">
        <f>-PMT(Model!$E$40/12,(Model!$E$41*12)-(D112-1),E112)</f>
        <v>31279.600373497997</v>
      </c>
      <c r="G112" s="25">
        <f>E112*Model!$E$40/12</f>
        <v>18155.990012380586</v>
      </c>
      <c r="H112" s="24">
        <f t="shared" si="2"/>
        <v>13123.610361117411</v>
      </c>
      <c r="I112" s="16">
        <f t="shared" si="3"/>
        <v>5433673.393353058</v>
      </c>
      <c r="J112" s="127"/>
    </row>
    <row r="113" spans="2:10" x14ac:dyDescent="0.25">
      <c r="B113" s="6"/>
      <c r="C113" s="13"/>
      <c r="D113" s="82">
        <v>101</v>
      </c>
      <c r="E113" s="24">
        <f>I112+IF(Model!$E$32="Yes",(Model!$E$31=AmortSched!C113)*Model!$E$30*Model!$E$33,0)</f>
        <v>5433673.393353058</v>
      </c>
      <c r="F113" s="24">
        <f>-PMT(Model!$E$40/12,(Model!$E$41*12)-(D113-1),E113)</f>
        <v>31279.600373497993</v>
      </c>
      <c r="G113" s="25">
        <f>E113*Model!$E$40/12</f>
        <v>18112.244644510192</v>
      </c>
      <c r="H113" s="24">
        <f t="shared" si="2"/>
        <v>13167.355728987801</v>
      </c>
      <c r="I113" s="16">
        <f t="shared" si="3"/>
        <v>5420506.0376240704</v>
      </c>
      <c r="J113" s="127"/>
    </row>
    <row r="114" spans="2:10" x14ac:dyDescent="0.25">
      <c r="B114" s="6"/>
      <c r="C114" s="13"/>
      <c r="D114" s="82">
        <v>102</v>
      </c>
      <c r="E114" s="24">
        <f>I113+IF(Model!$E$32="Yes",(Model!$E$31=AmortSched!C114)*Model!$E$30*Model!$E$33,0)</f>
        <v>5420506.0376240704</v>
      </c>
      <c r="F114" s="24">
        <f>-PMT(Model!$E$40/12,(Model!$E$41*12)-(D114-1),E114)</f>
        <v>31279.600373497997</v>
      </c>
      <c r="G114" s="25">
        <f>E114*Model!$E$40/12</f>
        <v>18068.3534587469</v>
      </c>
      <c r="H114" s="24">
        <f t="shared" si="2"/>
        <v>13211.246914751096</v>
      </c>
      <c r="I114" s="16">
        <f t="shared" si="3"/>
        <v>5407294.7907093195</v>
      </c>
      <c r="J114" s="127"/>
    </row>
    <row r="115" spans="2:10" x14ac:dyDescent="0.25">
      <c r="B115" s="6"/>
      <c r="C115" s="13"/>
      <c r="D115" s="82">
        <v>103</v>
      </c>
      <c r="E115" s="24">
        <f>I114+IF(Model!$E$32="Yes",(Model!$E$31=AmortSched!C115)*Model!$E$30*Model!$E$33,0)</f>
        <v>5407294.7907093195</v>
      </c>
      <c r="F115" s="24">
        <f>-PMT(Model!$E$40/12,(Model!$E$41*12)-(D115-1),E115)</f>
        <v>31279.600373497993</v>
      </c>
      <c r="G115" s="25">
        <f>E115*Model!$E$40/12</f>
        <v>18024.315969031068</v>
      </c>
      <c r="H115" s="24">
        <f t="shared" si="2"/>
        <v>13255.284404466925</v>
      </c>
      <c r="I115" s="16">
        <f t="shared" si="3"/>
        <v>5394039.5063048527</v>
      </c>
      <c r="J115" s="127"/>
    </row>
    <row r="116" spans="2:10" x14ac:dyDescent="0.25">
      <c r="B116" s="6"/>
      <c r="C116" s="13"/>
      <c r="D116" s="82">
        <v>104</v>
      </c>
      <c r="E116" s="24">
        <f>I115+IF(Model!$E$32="Yes",(Model!$E$31=AmortSched!C116)*Model!$E$30*Model!$E$33,0)</f>
        <v>5394039.5063048527</v>
      </c>
      <c r="F116" s="24">
        <f>-PMT(Model!$E$40/12,(Model!$E$41*12)-(D116-1),E116)</f>
        <v>31279.600373497997</v>
      </c>
      <c r="G116" s="25">
        <f>E116*Model!$E$40/12</f>
        <v>17980.131687682842</v>
      </c>
      <c r="H116" s="24">
        <f t="shared" si="2"/>
        <v>13299.468685815154</v>
      </c>
      <c r="I116" s="16">
        <f t="shared" si="3"/>
        <v>5380740.0376190376</v>
      </c>
      <c r="J116" s="127"/>
    </row>
    <row r="117" spans="2:10" x14ac:dyDescent="0.25">
      <c r="B117" s="6"/>
      <c r="C117" s="13"/>
      <c r="D117" s="82">
        <v>105</v>
      </c>
      <c r="E117" s="24">
        <f>I116+IF(Model!$E$32="Yes",(Model!$E$31=AmortSched!C117)*Model!$E$30*Model!$E$33,0)</f>
        <v>5380740.0376190376</v>
      </c>
      <c r="F117" s="24">
        <f>-PMT(Model!$E$40/12,(Model!$E$41*12)-(D117-1),E117)</f>
        <v>31279.600373497997</v>
      </c>
      <c r="G117" s="25">
        <f>E117*Model!$E$40/12</f>
        <v>17935.800125396792</v>
      </c>
      <c r="H117" s="24">
        <f t="shared" si="2"/>
        <v>13343.800248101204</v>
      </c>
      <c r="I117" s="16">
        <f t="shared" si="3"/>
        <v>5367396.2373709362</v>
      </c>
      <c r="J117" s="127"/>
    </row>
    <row r="118" spans="2:10" x14ac:dyDescent="0.25">
      <c r="B118" s="6"/>
      <c r="C118" s="13"/>
      <c r="D118" s="82">
        <v>106</v>
      </c>
      <c r="E118" s="24">
        <f>I117+IF(Model!$E$32="Yes",(Model!$E$31=AmortSched!C118)*Model!$E$30*Model!$E$33,0)</f>
        <v>5367396.2373709362</v>
      </c>
      <c r="F118" s="24">
        <f>-PMT(Model!$E$40/12,(Model!$E$41*12)-(D118-1),E118)</f>
        <v>31279.600373498004</v>
      </c>
      <c r="G118" s="25">
        <f>E118*Model!$E$40/12</f>
        <v>17891.320791236456</v>
      </c>
      <c r="H118" s="24">
        <f t="shared" si="2"/>
        <v>13388.279582261548</v>
      </c>
      <c r="I118" s="16">
        <f t="shared" si="3"/>
        <v>5354007.9577886751</v>
      </c>
      <c r="J118" s="127"/>
    </row>
    <row r="119" spans="2:10" x14ac:dyDescent="0.25">
      <c r="B119" s="6"/>
      <c r="C119" s="13"/>
      <c r="D119" s="82">
        <v>107</v>
      </c>
      <c r="E119" s="24">
        <f>I118+IF(Model!$E$32="Yes",(Model!$E$31=AmortSched!C119)*Model!$E$30*Model!$E$33,0)</f>
        <v>5354007.9577886751</v>
      </c>
      <c r="F119" s="24">
        <f>-PMT(Model!$E$40/12,(Model!$E$41*12)-(D119-1),E119)</f>
        <v>31279.600373497997</v>
      </c>
      <c r="G119" s="25">
        <f>E119*Model!$E$40/12</f>
        <v>17846.693192628918</v>
      </c>
      <c r="H119" s="24">
        <f t="shared" si="2"/>
        <v>13432.907180869079</v>
      </c>
      <c r="I119" s="16">
        <f t="shared" si="3"/>
        <v>5340575.0506078061</v>
      </c>
      <c r="J119" s="127"/>
    </row>
    <row r="120" spans="2:10" x14ac:dyDescent="0.25">
      <c r="B120" s="6"/>
      <c r="C120" s="13"/>
      <c r="D120" s="82">
        <v>108</v>
      </c>
      <c r="E120" s="24">
        <f>I119+IF(Model!$E$32="Yes",(Model!$E$31=AmortSched!C120)*Model!$E$30*Model!$E$33,0)</f>
        <v>5340575.0506078061</v>
      </c>
      <c r="F120" s="24">
        <f>-PMT(Model!$E$40/12,(Model!$E$41*12)-(D120-1),E120)</f>
        <v>31279.600373497997</v>
      </c>
      <c r="G120" s="25">
        <f>E120*Model!$E$40/12</f>
        <v>17801.916835359352</v>
      </c>
      <c r="H120" s="24">
        <f t="shared" si="2"/>
        <v>13477.683538138645</v>
      </c>
      <c r="I120" s="16">
        <f t="shared" si="3"/>
        <v>5327097.3670696672</v>
      </c>
      <c r="J120" s="127"/>
    </row>
    <row r="121" spans="2:10" x14ac:dyDescent="0.25">
      <c r="B121" s="6"/>
      <c r="C121" s="13">
        <f>C109+1</f>
        <v>10</v>
      </c>
      <c r="D121" s="82">
        <v>109</v>
      </c>
      <c r="E121" s="24">
        <f>I120+IF(Model!$E$32="Yes",(Model!$E$31=AmortSched!C121)*Model!$E$30*Model!$E$33,0)</f>
        <v>5327097.3670696672</v>
      </c>
      <c r="F121" s="24">
        <f>-PMT(Model!$E$40/12,(Model!$E$41*12)-(D121-1),E121)</f>
        <v>31279.600373497997</v>
      </c>
      <c r="G121" s="25">
        <f>E121*Model!$E$40/12</f>
        <v>17756.991223565557</v>
      </c>
      <c r="H121" s="24">
        <f t="shared" si="2"/>
        <v>13522.609149932439</v>
      </c>
      <c r="I121" s="16">
        <f t="shared" si="3"/>
        <v>5313574.7579197343</v>
      </c>
      <c r="J121" s="127"/>
    </row>
    <row r="122" spans="2:10" x14ac:dyDescent="0.25">
      <c r="B122" s="6"/>
      <c r="C122" s="13"/>
      <c r="D122" s="82">
        <v>110</v>
      </c>
      <c r="E122" s="24">
        <f>I121+IF(Model!$E$32="Yes",(Model!$E$31=AmortSched!C122)*Model!$E$30*Model!$E$33,0)</f>
        <v>5313574.7579197343</v>
      </c>
      <c r="F122" s="24">
        <f>-PMT(Model!$E$40/12,(Model!$E$41*12)-(D122-1),E122)</f>
        <v>31279.600373497997</v>
      </c>
      <c r="G122" s="25">
        <f>E122*Model!$E$40/12</f>
        <v>17711.915859732446</v>
      </c>
      <c r="H122" s="24">
        <f t="shared" si="2"/>
        <v>13567.684513765551</v>
      </c>
      <c r="I122" s="16">
        <f t="shared" si="3"/>
        <v>5300007.073405969</v>
      </c>
      <c r="J122" s="127"/>
    </row>
    <row r="123" spans="2:10" x14ac:dyDescent="0.25">
      <c r="B123" s="6"/>
      <c r="C123" s="13"/>
      <c r="D123" s="82">
        <v>111</v>
      </c>
      <c r="E123" s="24">
        <f>I122+IF(Model!$E$32="Yes",(Model!$E$31=AmortSched!C123)*Model!$E$30*Model!$E$33,0)</f>
        <v>5300007.073405969</v>
      </c>
      <c r="F123" s="24">
        <f>-PMT(Model!$E$40/12,(Model!$E$41*12)-(D123-1),E123)</f>
        <v>31279.600373497997</v>
      </c>
      <c r="G123" s="25">
        <f>E123*Model!$E$40/12</f>
        <v>17666.690244686564</v>
      </c>
      <c r="H123" s="24">
        <f t="shared" si="2"/>
        <v>13612.910128811433</v>
      </c>
      <c r="I123" s="16">
        <f t="shared" si="3"/>
        <v>5286394.1632771576</v>
      </c>
      <c r="J123" s="127"/>
    </row>
    <row r="124" spans="2:10" x14ac:dyDescent="0.25">
      <c r="B124" s="6"/>
      <c r="C124" s="13"/>
      <c r="D124" s="82">
        <v>112</v>
      </c>
      <c r="E124" s="24">
        <f>I123+IF(Model!$E$32="Yes",(Model!$E$31=AmortSched!C124)*Model!$E$30*Model!$E$33,0)</f>
        <v>5286394.1632771576</v>
      </c>
      <c r="F124" s="24">
        <f>-PMT(Model!$E$40/12,(Model!$E$41*12)-(D124-1),E124)</f>
        <v>31279.600373498004</v>
      </c>
      <c r="G124" s="25">
        <f>E124*Model!$E$40/12</f>
        <v>17621.313877590524</v>
      </c>
      <c r="H124" s="24">
        <f t="shared" si="2"/>
        <v>13658.28649590748</v>
      </c>
      <c r="I124" s="16">
        <f t="shared" si="3"/>
        <v>5272735.8767812504</v>
      </c>
      <c r="J124" s="127"/>
    </row>
    <row r="125" spans="2:10" x14ac:dyDescent="0.25">
      <c r="B125" s="6"/>
      <c r="C125" s="13"/>
      <c r="D125" s="82">
        <v>113</v>
      </c>
      <c r="E125" s="24">
        <f>I124+IF(Model!$E$32="Yes",(Model!$E$31=AmortSched!C125)*Model!$E$30*Model!$E$33,0)</f>
        <v>5272735.8767812504</v>
      </c>
      <c r="F125" s="24">
        <f>-PMT(Model!$E$40/12,(Model!$E$41*12)-(D125-1),E125)</f>
        <v>31279.600373497997</v>
      </c>
      <c r="G125" s="25">
        <f>E125*Model!$E$40/12</f>
        <v>17575.786255937503</v>
      </c>
      <c r="H125" s="24">
        <f t="shared" si="2"/>
        <v>13703.814117560494</v>
      </c>
      <c r="I125" s="16">
        <f t="shared" si="3"/>
        <v>5259032.0626636902</v>
      </c>
      <c r="J125" s="127"/>
    </row>
    <row r="126" spans="2:10" x14ac:dyDescent="0.25">
      <c r="B126" s="6"/>
      <c r="C126" s="13"/>
      <c r="D126" s="82">
        <v>114</v>
      </c>
      <c r="E126" s="24">
        <f>I125+IF(Model!$E$32="Yes",(Model!$E$31=AmortSched!C126)*Model!$E$30*Model!$E$33,0)</f>
        <v>5259032.0626636902</v>
      </c>
      <c r="F126" s="24">
        <f>-PMT(Model!$E$40/12,(Model!$E$41*12)-(D126-1),E126)</f>
        <v>31279.600373497997</v>
      </c>
      <c r="G126" s="25">
        <f>E126*Model!$E$40/12</f>
        <v>17530.106875545633</v>
      </c>
      <c r="H126" s="24">
        <f t="shared" si="2"/>
        <v>13749.493497952364</v>
      </c>
      <c r="I126" s="16">
        <f t="shared" si="3"/>
        <v>5245282.5691657374</v>
      </c>
      <c r="J126" s="127"/>
    </row>
    <row r="127" spans="2:10" x14ac:dyDescent="0.25">
      <c r="B127" s="6"/>
      <c r="C127" s="13"/>
      <c r="D127" s="82">
        <v>115</v>
      </c>
      <c r="E127" s="24">
        <f>I126+IF(Model!$E$32="Yes",(Model!$E$31=AmortSched!C127)*Model!$E$30*Model!$E$33,0)</f>
        <v>5245282.5691657374</v>
      </c>
      <c r="F127" s="24">
        <f>-PMT(Model!$E$40/12,(Model!$E$41*12)-(D127-1),E127)</f>
        <v>31279.600373497993</v>
      </c>
      <c r="G127" s="25">
        <f>E127*Model!$E$40/12</f>
        <v>17484.275230552459</v>
      </c>
      <c r="H127" s="24">
        <f t="shared" si="2"/>
        <v>13795.325142945534</v>
      </c>
      <c r="I127" s="16">
        <f t="shared" si="3"/>
        <v>5231487.2440227922</v>
      </c>
      <c r="J127" s="127"/>
    </row>
    <row r="128" spans="2:10" x14ac:dyDescent="0.25">
      <c r="B128" s="6"/>
      <c r="C128" s="13"/>
      <c r="D128" s="82">
        <v>116</v>
      </c>
      <c r="E128" s="24">
        <f>I127+IF(Model!$E$32="Yes",(Model!$E$31=AmortSched!C128)*Model!$E$30*Model!$E$33,0)</f>
        <v>5231487.2440227922</v>
      </c>
      <c r="F128" s="24">
        <f>-PMT(Model!$E$40/12,(Model!$E$41*12)-(D128-1),E128)</f>
        <v>31279.600373497997</v>
      </c>
      <c r="G128" s="25">
        <f>E128*Model!$E$40/12</f>
        <v>17438.290813409309</v>
      </c>
      <c r="H128" s="24">
        <f t="shared" si="2"/>
        <v>13841.309560088688</v>
      </c>
      <c r="I128" s="16">
        <f t="shared" si="3"/>
        <v>5217645.9344627038</v>
      </c>
      <c r="J128" s="127"/>
    </row>
    <row r="129" spans="2:10" x14ac:dyDescent="0.25">
      <c r="B129" s="6"/>
      <c r="C129" s="13"/>
      <c r="D129" s="82">
        <v>117</v>
      </c>
      <c r="E129" s="24">
        <f>I128+IF(Model!$E$32="Yes",(Model!$E$31=AmortSched!C129)*Model!$E$30*Model!$E$33,0)</f>
        <v>5217645.9344627038</v>
      </c>
      <c r="F129" s="24">
        <f>-PMT(Model!$E$40/12,(Model!$E$41*12)-(D129-1),E129)</f>
        <v>31279.600373497997</v>
      </c>
      <c r="G129" s="25">
        <f>E129*Model!$E$40/12</f>
        <v>17392.15311487568</v>
      </c>
      <c r="H129" s="24">
        <f t="shared" si="2"/>
        <v>13887.447258622316</v>
      </c>
      <c r="I129" s="16">
        <f t="shared" si="3"/>
        <v>5203758.4872040814</v>
      </c>
      <c r="J129" s="127"/>
    </row>
    <row r="130" spans="2:10" x14ac:dyDescent="0.25">
      <c r="B130" s="6"/>
      <c r="C130" s="13"/>
      <c r="D130" s="82">
        <v>118</v>
      </c>
      <c r="E130" s="24">
        <f>I129+IF(Model!$E$32="Yes",(Model!$E$31=AmortSched!C130)*Model!$E$30*Model!$E$33,0)</f>
        <v>5203758.4872040814</v>
      </c>
      <c r="F130" s="24">
        <f>-PMT(Model!$E$40/12,(Model!$E$41*12)-(D130-1),E130)</f>
        <v>31279.600373497997</v>
      </c>
      <c r="G130" s="25">
        <f>E130*Model!$E$40/12</f>
        <v>17345.861624013607</v>
      </c>
      <c r="H130" s="24">
        <f t="shared" si="2"/>
        <v>13933.73874948439</v>
      </c>
      <c r="I130" s="16">
        <f t="shared" si="3"/>
        <v>5189824.7484545968</v>
      </c>
      <c r="J130" s="127"/>
    </row>
    <row r="131" spans="2:10" x14ac:dyDescent="0.25">
      <c r="B131" s="6"/>
      <c r="C131" s="13"/>
      <c r="D131" s="82">
        <v>119</v>
      </c>
      <c r="E131" s="24">
        <f>I130+IF(Model!$E$32="Yes",(Model!$E$31=AmortSched!C131)*Model!$E$30*Model!$E$33,0)</f>
        <v>5189824.7484545968</v>
      </c>
      <c r="F131" s="24">
        <f>-PMT(Model!$E$40/12,(Model!$E$41*12)-(D131-1),E131)</f>
        <v>31279.600373498004</v>
      </c>
      <c r="G131" s="25">
        <f>E131*Model!$E$40/12</f>
        <v>17299.415828181991</v>
      </c>
      <c r="H131" s="24">
        <f t="shared" si="2"/>
        <v>13980.184545316013</v>
      </c>
      <c r="I131" s="16">
        <f t="shared" si="3"/>
        <v>5175844.563909281</v>
      </c>
      <c r="J131" s="127"/>
    </row>
    <row r="132" spans="2:10" x14ac:dyDescent="0.25">
      <c r="B132" s="6"/>
      <c r="C132" s="13"/>
      <c r="D132" s="82">
        <v>120</v>
      </c>
      <c r="E132" s="24">
        <f>I131+IF(Model!$E$32="Yes",(Model!$E$31=AmortSched!C132)*Model!$E$30*Model!$E$33,0)</f>
        <v>5175844.563909281</v>
      </c>
      <c r="F132" s="24">
        <f>-PMT(Model!$E$40/12,(Model!$E$41*12)-(D132-1),E132)</f>
        <v>31279.600373497997</v>
      </c>
      <c r="G132" s="25">
        <f>E132*Model!$E$40/12</f>
        <v>17252.815213030935</v>
      </c>
      <c r="H132" s="24">
        <f t="shared" si="2"/>
        <v>14026.785160467061</v>
      </c>
      <c r="I132" s="16">
        <f t="shared" si="3"/>
        <v>5161817.778748814</v>
      </c>
      <c r="J132" s="127"/>
    </row>
    <row r="133" spans="2:10" x14ac:dyDescent="0.25">
      <c r="B133" s="6"/>
      <c r="C133" s="13"/>
      <c r="D133" s="82">
        <v>121</v>
      </c>
      <c r="E133" s="24">
        <f>I132+IF(Model!$E$32="Yes",(Model!$E$31=AmortSched!C133)*Model!$E$30*Model!$E$33,0)</f>
        <v>5161817.778748814</v>
      </c>
      <c r="F133" s="24">
        <f>-PMT(Model!$E$40/12,(Model!$E$41*12)-(D133-1),E133)</f>
        <v>31279.600373497997</v>
      </c>
      <c r="G133" s="25">
        <f>E133*Model!$E$40/12</f>
        <v>17206.059262496048</v>
      </c>
      <c r="H133" s="24">
        <f t="shared" si="2"/>
        <v>14073.541111001949</v>
      </c>
      <c r="I133" s="16">
        <f t="shared" si="3"/>
        <v>5147744.2376378123</v>
      </c>
      <c r="J133" s="127"/>
    </row>
    <row r="134" spans="2:10" x14ac:dyDescent="0.25">
      <c r="B134" s="6"/>
      <c r="C134" s="13"/>
      <c r="D134" s="82">
        <v>122</v>
      </c>
      <c r="E134" s="24">
        <f>I133+IF(Model!$E$32="Yes",(Model!$E$31=AmortSched!C134)*Model!$E$30*Model!$E$33,0)</f>
        <v>5147744.2376378123</v>
      </c>
      <c r="F134" s="24">
        <f>-PMT(Model!$E$40/12,(Model!$E$41*12)-(D134-1),E134)</f>
        <v>31279.600373498004</v>
      </c>
      <c r="G134" s="25">
        <f>E134*Model!$E$40/12</f>
        <v>17159.147458792708</v>
      </c>
      <c r="H134" s="24">
        <f t="shared" si="2"/>
        <v>14120.452914705296</v>
      </c>
      <c r="I134" s="16">
        <f t="shared" si="3"/>
        <v>5133623.7847231068</v>
      </c>
      <c r="J134" s="127"/>
    </row>
    <row r="135" spans="2:10" x14ac:dyDescent="0.25">
      <c r="B135" s="6"/>
      <c r="C135" s="13"/>
      <c r="D135" s="82">
        <v>123</v>
      </c>
      <c r="E135" s="24">
        <f>I134+IF(Model!$E$32="Yes",(Model!$E$31=AmortSched!C135)*Model!$E$30*Model!$E$33,0)</f>
        <v>5133623.7847231068</v>
      </c>
      <c r="F135" s="24">
        <f>-PMT(Model!$E$40/12,(Model!$E$41*12)-(D135-1),E135)</f>
        <v>31279.600373497993</v>
      </c>
      <c r="G135" s="25">
        <f>E135*Model!$E$40/12</f>
        <v>17112.079282410356</v>
      </c>
      <c r="H135" s="24">
        <f t="shared" si="2"/>
        <v>14167.521091087638</v>
      </c>
      <c r="I135" s="16">
        <f t="shared" si="3"/>
        <v>5119456.2636320191</v>
      </c>
      <c r="J135" s="127"/>
    </row>
    <row r="136" spans="2:10" x14ac:dyDescent="0.25">
      <c r="B136" s="6"/>
      <c r="C136" s="13"/>
      <c r="D136" s="82">
        <v>124</v>
      </c>
      <c r="E136" s="24">
        <f>I135+IF(Model!$E$32="Yes",(Model!$E$31=AmortSched!C136)*Model!$E$30*Model!$E$33,0)</f>
        <v>5119456.2636320191</v>
      </c>
      <c r="F136" s="24">
        <f>-PMT(Model!$E$40/12,(Model!$E$41*12)-(D136-1),E136)</f>
        <v>31279.600373497997</v>
      </c>
      <c r="G136" s="25">
        <f>E136*Model!$E$40/12</f>
        <v>17064.854212106729</v>
      </c>
      <c r="H136" s="24">
        <f t="shared" si="2"/>
        <v>14214.746161391267</v>
      </c>
      <c r="I136" s="16">
        <f t="shared" si="3"/>
        <v>5105241.517470628</v>
      </c>
      <c r="J136" s="127"/>
    </row>
    <row r="137" spans="2:10" x14ac:dyDescent="0.25">
      <c r="B137" s="6"/>
      <c r="C137" s="13"/>
      <c r="D137" s="82">
        <v>125</v>
      </c>
      <c r="E137" s="24">
        <f>I136+IF(Model!$E$32="Yes",(Model!$E$31=AmortSched!C137)*Model!$E$30*Model!$E$33,0)</f>
        <v>5105241.517470628</v>
      </c>
      <c r="F137" s="24">
        <f>-PMT(Model!$E$40/12,(Model!$E$41*12)-(D137-1),E137)</f>
        <v>31279.600373497997</v>
      </c>
      <c r="G137" s="25">
        <f>E137*Model!$E$40/12</f>
        <v>17017.471724902094</v>
      </c>
      <c r="H137" s="24">
        <f t="shared" si="2"/>
        <v>14262.128648595903</v>
      </c>
      <c r="I137" s="16">
        <f t="shared" si="3"/>
        <v>5090979.3888220321</v>
      </c>
      <c r="J137" s="127"/>
    </row>
    <row r="138" spans="2:10" x14ac:dyDescent="0.25">
      <c r="B138" s="6"/>
      <c r="C138" s="13"/>
      <c r="D138" s="82">
        <v>126</v>
      </c>
      <c r="E138" s="24">
        <f>I137+IF(Model!$E$32="Yes",(Model!$E$31=AmortSched!C138)*Model!$E$30*Model!$E$33,0)</f>
        <v>5090979.3888220321</v>
      </c>
      <c r="F138" s="24">
        <f>-PMT(Model!$E$40/12,(Model!$E$41*12)-(D138-1),E138)</f>
        <v>31279.600373497997</v>
      </c>
      <c r="G138" s="25">
        <f>E138*Model!$E$40/12</f>
        <v>16969.931296073442</v>
      </c>
      <c r="H138" s="24">
        <f t="shared" si="2"/>
        <v>14309.669077424554</v>
      </c>
      <c r="I138" s="16">
        <f t="shared" si="3"/>
        <v>5076669.7197446078</v>
      </c>
      <c r="J138" s="127"/>
    </row>
    <row r="139" spans="2:10" x14ac:dyDescent="0.25">
      <c r="B139" s="6"/>
      <c r="C139" s="13"/>
      <c r="D139" s="82">
        <v>127</v>
      </c>
      <c r="E139" s="24">
        <f>I138+IF(Model!$E$32="Yes",(Model!$E$31=AmortSched!C139)*Model!$E$30*Model!$E$33,0)</f>
        <v>5076669.7197446078</v>
      </c>
      <c r="F139" s="24">
        <f>-PMT(Model!$E$40/12,(Model!$E$41*12)-(D139-1),E139)</f>
        <v>31279.600373497997</v>
      </c>
      <c r="G139" s="25">
        <f>E139*Model!$E$40/12</f>
        <v>16922.232399148692</v>
      </c>
      <c r="H139" s="24">
        <f t="shared" si="2"/>
        <v>14357.367974349305</v>
      </c>
      <c r="I139" s="16">
        <f t="shared" si="3"/>
        <v>5062312.3517702585</v>
      </c>
      <c r="J139" s="127"/>
    </row>
    <row r="140" spans="2:10" x14ac:dyDescent="0.25">
      <c r="B140" s="6"/>
      <c r="C140" s="13"/>
      <c r="D140" s="82">
        <v>128</v>
      </c>
      <c r="E140" s="24">
        <f>I139+IF(Model!$E$32="Yes",(Model!$E$31=AmortSched!C140)*Model!$E$30*Model!$E$33,0)</f>
        <v>5062312.3517702585</v>
      </c>
      <c r="F140" s="24">
        <f>-PMT(Model!$E$40/12,(Model!$E$41*12)-(D140-1),E140)</f>
        <v>31279.600373498004</v>
      </c>
      <c r="G140" s="25">
        <f>E140*Model!$E$40/12</f>
        <v>16874.374505900862</v>
      </c>
      <c r="H140" s="24">
        <f t="shared" si="2"/>
        <v>14405.225867597142</v>
      </c>
      <c r="I140" s="16">
        <f t="shared" si="3"/>
        <v>5047907.1259026611</v>
      </c>
      <c r="J140" s="127"/>
    </row>
    <row r="141" spans="2:10" x14ac:dyDescent="0.25">
      <c r="B141" s="6"/>
      <c r="C141" s="13"/>
      <c r="D141" s="82">
        <v>129</v>
      </c>
      <c r="E141" s="24">
        <f>I140+IF(Model!$E$32="Yes",(Model!$E$31=AmortSched!C141)*Model!$E$30*Model!$E$33,0)</f>
        <v>5047907.1259026611</v>
      </c>
      <c r="F141" s="24">
        <f>-PMT(Model!$E$40/12,(Model!$E$41*12)-(D141-1),E141)</f>
        <v>31279.600373497997</v>
      </c>
      <c r="G141" s="25">
        <f>E141*Model!$E$40/12</f>
        <v>16826.357086342203</v>
      </c>
      <c r="H141" s="24">
        <f t="shared" si="2"/>
        <v>14453.243287155794</v>
      </c>
      <c r="I141" s="16">
        <f t="shared" si="3"/>
        <v>5033453.8826155057</v>
      </c>
      <c r="J141" s="127"/>
    </row>
    <row r="142" spans="2:10" x14ac:dyDescent="0.25">
      <c r="B142" s="6"/>
      <c r="C142" s="13"/>
      <c r="D142" s="82">
        <v>130</v>
      </c>
      <c r="E142" s="24">
        <f>I141+IF(Model!$E$32="Yes",(Model!$E$31=AmortSched!C142)*Model!$E$30*Model!$E$33,0)</f>
        <v>5033453.8826155057</v>
      </c>
      <c r="F142" s="24">
        <f>-PMT(Model!$E$40/12,(Model!$E$41*12)-(D142-1),E142)</f>
        <v>31279.600373497997</v>
      </c>
      <c r="G142" s="25">
        <f>E142*Model!$E$40/12</f>
        <v>16778.179608718354</v>
      </c>
      <c r="H142" s="24">
        <f t="shared" si="2"/>
        <v>14501.420764779643</v>
      </c>
      <c r="I142" s="16">
        <f t="shared" si="3"/>
        <v>5018952.461850726</v>
      </c>
      <c r="J142" s="127"/>
    </row>
    <row r="143" spans="2:10" x14ac:dyDescent="0.25">
      <c r="B143" s="6"/>
      <c r="C143" s="13"/>
      <c r="D143" s="82">
        <v>131</v>
      </c>
      <c r="E143" s="24">
        <f>I142+IF(Model!$E$32="Yes",(Model!$E$31=AmortSched!C143)*Model!$E$30*Model!$E$33,0)</f>
        <v>5018952.461850726</v>
      </c>
      <c r="F143" s="24">
        <f>-PMT(Model!$E$40/12,(Model!$E$41*12)-(D143-1),E143)</f>
        <v>31279.600373498004</v>
      </c>
      <c r="G143" s="25">
        <f>E143*Model!$E$40/12</f>
        <v>16729.84153950242</v>
      </c>
      <c r="H143" s="24">
        <f t="shared" ref="H143:H206" si="4">F143-G143</f>
        <v>14549.758833995584</v>
      </c>
      <c r="I143" s="16">
        <f t="shared" ref="I143:I206" si="5">E143-H143</f>
        <v>5004402.70301673</v>
      </c>
      <c r="J143" s="127"/>
    </row>
    <row r="144" spans="2:10" x14ac:dyDescent="0.25">
      <c r="B144" s="6"/>
      <c r="C144" s="13"/>
      <c r="D144" s="82">
        <v>132</v>
      </c>
      <c r="E144" s="24">
        <f>I143+IF(Model!$E$32="Yes",(Model!$E$31=AmortSched!C144)*Model!$E$30*Model!$E$33,0)</f>
        <v>5004402.70301673</v>
      </c>
      <c r="F144" s="24">
        <f>-PMT(Model!$E$40/12,(Model!$E$41*12)-(D144-1),E144)</f>
        <v>31279.600373497997</v>
      </c>
      <c r="G144" s="25">
        <f>E144*Model!$E$40/12</f>
        <v>16681.3423433891</v>
      </c>
      <c r="H144" s="24">
        <f t="shared" si="4"/>
        <v>14598.258030108896</v>
      </c>
      <c r="I144" s="16">
        <f t="shared" si="5"/>
        <v>4989804.4449866209</v>
      </c>
      <c r="J144" s="127"/>
    </row>
    <row r="145" spans="2:10" x14ac:dyDescent="0.25">
      <c r="B145" s="6"/>
      <c r="C145" s="13"/>
      <c r="D145" s="82">
        <v>133</v>
      </c>
      <c r="E145" s="24">
        <f>I144+IF(Model!$E$32="Yes",(Model!$E$31=AmortSched!C145)*Model!$E$30*Model!$E$33,0)</f>
        <v>4989804.4449866209</v>
      </c>
      <c r="F145" s="24">
        <f>-PMT(Model!$E$40/12,(Model!$E$41*12)-(D145-1),E145)</f>
        <v>31279.600373497997</v>
      </c>
      <c r="G145" s="25">
        <f>E145*Model!$E$40/12</f>
        <v>16632.681483288736</v>
      </c>
      <c r="H145" s="24">
        <f t="shared" si="4"/>
        <v>14646.918890209261</v>
      </c>
      <c r="I145" s="16">
        <f t="shared" si="5"/>
        <v>4975157.526096412</v>
      </c>
      <c r="J145" s="127"/>
    </row>
    <row r="146" spans="2:10" x14ac:dyDescent="0.25">
      <c r="B146" s="6"/>
      <c r="C146" s="13"/>
      <c r="D146" s="82">
        <v>134</v>
      </c>
      <c r="E146" s="24">
        <f>I145+IF(Model!$E$32="Yes",(Model!$E$31=AmortSched!C146)*Model!$E$30*Model!$E$33,0)</f>
        <v>4975157.526096412</v>
      </c>
      <c r="F146" s="24">
        <f>-PMT(Model!$E$40/12,(Model!$E$41*12)-(D146-1),E146)</f>
        <v>31279.600373497997</v>
      </c>
      <c r="G146" s="25">
        <f>E146*Model!$E$40/12</f>
        <v>16583.858420321372</v>
      </c>
      <c r="H146" s="24">
        <f t="shared" si="4"/>
        <v>14695.741953176625</v>
      </c>
      <c r="I146" s="16">
        <f t="shared" si="5"/>
        <v>4960461.7841432355</v>
      </c>
      <c r="J146" s="127"/>
    </row>
    <row r="147" spans="2:10" x14ac:dyDescent="0.25">
      <c r="B147" s="6"/>
      <c r="C147" s="13"/>
      <c r="D147" s="82">
        <v>135</v>
      </c>
      <c r="E147" s="24">
        <f>I146+IF(Model!$E$32="Yes",(Model!$E$31=AmortSched!C147)*Model!$E$30*Model!$E$33,0)</f>
        <v>4960461.7841432355</v>
      </c>
      <c r="F147" s="24">
        <f>-PMT(Model!$E$40/12,(Model!$E$41*12)-(D147-1),E147)</f>
        <v>31279.600373497997</v>
      </c>
      <c r="G147" s="25">
        <f>E147*Model!$E$40/12</f>
        <v>16534.872613810785</v>
      </c>
      <c r="H147" s="24">
        <f t="shared" si="4"/>
        <v>14744.727759687212</v>
      </c>
      <c r="I147" s="16">
        <f t="shared" si="5"/>
        <v>4945717.0563835483</v>
      </c>
      <c r="J147" s="127"/>
    </row>
    <row r="148" spans="2:10" x14ac:dyDescent="0.25">
      <c r="B148" s="6"/>
      <c r="C148" s="13"/>
      <c r="D148" s="82">
        <v>136</v>
      </c>
      <c r="E148" s="24">
        <f>I147+IF(Model!$E$32="Yes",(Model!$E$31=AmortSched!C148)*Model!$E$30*Model!$E$33,0)</f>
        <v>4945717.0563835483</v>
      </c>
      <c r="F148" s="24">
        <f>-PMT(Model!$E$40/12,(Model!$E$41*12)-(D148-1),E148)</f>
        <v>31279.600373498004</v>
      </c>
      <c r="G148" s="25">
        <f>E148*Model!$E$40/12</f>
        <v>16485.723521278494</v>
      </c>
      <c r="H148" s="24">
        <f t="shared" si="4"/>
        <v>14793.87685221951</v>
      </c>
      <c r="I148" s="16">
        <f t="shared" si="5"/>
        <v>4930923.1795313284</v>
      </c>
      <c r="J148" s="127"/>
    </row>
    <row r="149" spans="2:10" x14ac:dyDescent="0.25">
      <c r="B149" s="6"/>
      <c r="C149" s="13"/>
      <c r="D149" s="82">
        <v>137</v>
      </c>
      <c r="E149" s="24">
        <f>I148+IF(Model!$E$32="Yes",(Model!$E$31=AmortSched!C149)*Model!$E$30*Model!$E$33,0)</f>
        <v>4930923.1795313284</v>
      </c>
      <c r="F149" s="24">
        <f>-PMT(Model!$E$40/12,(Model!$E$41*12)-(D149-1),E149)</f>
        <v>31279.600373497997</v>
      </c>
      <c r="G149" s="25">
        <f>E149*Model!$E$40/12</f>
        <v>16436.410598437764</v>
      </c>
      <c r="H149" s="24">
        <f t="shared" si="4"/>
        <v>14843.189775060233</v>
      </c>
      <c r="I149" s="16">
        <f t="shared" si="5"/>
        <v>4916079.9897562684</v>
      </c>
      <c r="J149" s="127"/>
    </row>
    <row r="150" spans="2:10" x14ac:dyDescent="0.25">
      <c r="B150" s="6"/>
      <c r="C150" s="13"/>
      <c r="D150" s="82">
        <v>138</v>
      </c>
      <c r="E150" s="24">
        <f>I149+IF(Model!$E$32="Yes",(Model!$E$31=AmortSched!C150)*Model!$E$30*Model!$E$33,0)</f>
        <v>4916079.9897562684</v>
      </c>
      <c r="F150" s="24">
        <f>-PMT(Model!$E$40/12,(Model!$E$41*12)-(D150-1),E150)</f>
        <v>31279.600373498004</v>
      </c>
      <c r="G150" s="25">
        <f>E150*Model!$E$40/12</f>
        <v>16386.93329918756</v>
      </c>
      <c r="H150" s="24">
        <f t="shared" si="4"/>
        <v>14892.667074310444</v>
      </c>
      <c r="I150" s="16">
        <f t="shared" si="5"/>
        <v>4901187.3226819579</v>
      </c>
      <c r="J150" s="127"/>
    </row>
    <row r="151" spans="2:10" x14ac:dyDescent="0.25">
      <c r="B151" s="6"/>
      <c r="C151" s="13"/>
      <c r="D151" s="82">
        <v>139</v>
      </c>
      <c r="E151" s="24">
        <f>I150+IF(Model!$E$32="Yes",(Model!$E$31=AmortSched!C151)*Model!$E$30*Model!$E$33,0)</f>
        <v>4901187.3226819579</v>
      </c>
      <c r="F151" s="24">
        <f>-PMT(Model!$E$40/12,(Model!$E$41*12)-(D151-1),E151)</f>
        <v>31279.600373497997</v>
      </c>
      <c r="G151" s="25">
        <f>E151*Model!$E$40/12</f>
        <v>16337.291075606527</v>
      </c>
      <c r="H151" s="24">
        <f t="shared" si="4"/>
        <v>14942.30929789147</v>
      </c>
      <c r="I151" s="16">
        <f t="shared" si="5"/>
        <v>4886245.0133840665</v>
      </c>
      <c r="J151" s="127"/>
    </row>
    <row r="152" spans="2:10" x14ac:dyDescent="0.25">
      <c r="B152" s="6"/>
      <c r="C152" s="13"/>
      <c r="D152" s="82">
        <v>140</v>
      </c>
      <c r="E152" s="24">
        <f>I151+IF(Model!$E$32="Yes",(Model!$E$31=AmortSched!C152)*Model!$E$30*Model!$E$33,0)</f>
        <v>4886245.0133840665</v>
      </c>
      <c r="F152" s="24">
        <f>-PMT(Model!$E$40/12,(Model!$E$41*12)-(D152-1),E152)</f>
        <v>31279.600373498004</v>
      </c>
      <c r="G152" s="25">
        <f>E152*Model!$E$40/12</f>
        <v>16287.48337794689</v>
      </c>
      <c r="H152" s="24">
        <f t="shared" si="4"/>
        <v>14992.116995551114</v>
      </c>
      <c r="I152" s="16">
        <f t="shared" si="5"/>
        <v>4871252.8963885158</v>
      </c>
      <c r="J152" s="127"/>
    </row>
    <row r="153" spans="2:10" x14ac:dyDescent="0.25">
      <c r="B153" s="6"/>
      <c r="C153" s="13"/>
      <c r="D153" s="82">
        <v>141</v>
      </c>
      <c r="E153" s="24">
        <f>I152+IF(Model!$E$32="Yes",(Model!$E$31=AmortSched!C153)*Model!$E$30*Model!$E$33,0)</f>
        <v>4871252.8963885158</v>
      </c>
      <c r="F153" s="24">
        <f>-PMT(Model!$E$40/12,(Model!$E$41*12)-(D153-1),E153)</f>
        <v>31279.600373497997</v>
      </c>
      <c r="G153" s="25">
        <f>E153*Model!$E$40/12</f>
        <v>16237.509654628388</v>
      </c>
      <c r="H153" s="24">
        <f t="shared" si="4"/>
        <v>15042.090718869609</v>
      </c>
      <c r="I153" s="16">
        <f t="shared" si="5"/>
        <v>4856210.8056696458</v>
      </c>
      <c r="J153" s="127"/>
    </row>
    <row r="154" spans="2:10" x14ac:dyDescent="0.25">
      <c r="B154" s="6"/>
      <c r="C154" s="13"/>
      <c r="D154" s="82">
        <v>142</v>
      </c>
      <c r="E154" s="24">
        <f>I153+IF(Model!$E$32="Yes",(Model!$E$31=AmortSched!C154)*Model!$E$30*Model!$E$33,0)</f>
        <v>4856210.8056696458</v>
      </c>
      <c r="F154" s="24">
        <f>-PMT(Model!$E$40/12,(Model!$E$41*12)-(D154-1),E154)</f>
        <v>31279.600373497997</v>
      </c>
      <c r="G154" s="25">
        <f>E154*Model!$E$40/12</f>
        <v>16187.369352232154</v>
      </c>
      <c r="H154" s="24">
        <f t="shared" si="4"/>
        <v>15092.231021265843</v>
      </c>
      <c r="I154" s="16">
        <f t="shared" si="5"/>
        <v>4841118.5746483803</v>
      </c>
      <c r="J154" s="127"/>
    </row>
    <row r="155" spans="2:10" x14ac:dyDescent="0.25">
      <c r="B155" s="6"/>
      <c r="C155" s="13"/>
      <c r="D155" s="82">
        <v>143</v>
      </c>
      <c r="E155" s="24">
        <f>I154+IF(Model!$E$32="Yes",(Model!$E$31=AmortSched!C155)*Model!$E$30*Model!$E$33,0)</f>
        <v>4841118.5746483803</v>
      </c>
      <c r="F155" s="24">
        <f>-PMT(Model!$E$40/12,(Model!$E$41*12)-(D155-1),E155)</f>
        <v>31279.600373498004</v>
      </c>
      <c r="G155" s="25">
        <f>E155*Model!$E$40/12</f>
        <v>16137.061915494602</v>
      </c>
      <c r="H155" s="24">
        <f t="shared" si="4"/>
        <v>15142.538458003402</v>
      </c>
      <c r="I155" s="16">
        <f t="shared" si="5"/>
        <v>4825976.0361903766</v>
      </c>
      <c r="J155" s="127"/>
    </row>
    <row r="156" spans="2:10" x14ac:dyDescent="0.25">
      <c r="B156" s="6"/>
      <c r="C156" s="13"/>
      <c r="D156" s="82">
        <v>144</v>
      </c>
      <c r="E156" s="24">
        <f>I155+IF(Model!$E$32="Yes",(Model!$E$31=AmortSched!C156)*Model!$E$30*Model!$E$33,0)</f>
        <v>4825976.0361903766</v>
      </c>
      <c r="F156" s="24">
        <f>-PMT(Model!$E$40/12,(Model!$E$41*12)-(D156-1),E156)</f>
        <v>31279.600373498004</v>
      </c>
      <c r="G156" s="25">
        <f>E156*Model!$E$40/12</f>
        <v>16086.586787301256</v>
      </c>
      <c r="H156" s="24">
        <f t="shared" si="4"/>
        <v>15193.013586196748</v>
      </c>
      <c r="I156" s="16">
        <f t="shared" si="5"/>
        <v>4810783.0226041796</v>
      </c>
      <c r="J156" s="127"/>
    </row>
    <row r="157" spans="2:10" x14ac:dyDescent="0.25">
      <c r="B157" s="6"/>
      <c r="C157" s="13"/>
      <c r="D157" s="82">
        <v>145</v>
      </c>
      <c r="E157" s="24">
        <f>I156+IF(Model!$E$32="Yes",(Model!$E$31=AmortSched!C157)*Model!$E$30*Model!$E$33,0)</f>
        <v>4810783.0226041796</v>
      </c>
      <c r="F157" s="24">
        <f>-PMT(Model!$E$40/12,(Model!$E$41*12)-(D157-1),E157)</f>
        <v>31279.600373497997</v>
      </c>
      <c r="G157" s="25">
        <f>E157*Model!$E$40/12</f>
        <v>16035.9434086806</v>
      </c>
      <c r="H157" s="24">
        <f t="shared" si="4"/>
        <v>15243.656964817397</v>
      </c>
      <c r="I157" s="16">
        <f t="shared" si="5"/>
        <v>4795539.3656393625</v>
      </c>
      <c r="J157" s="127"/>
    </row>
    <row r="158" spans="2:10" x14ac:dyDescent="0.25">
      <c r="B158" s="6"/>
      <c r="C158" s="13"/>
      <c r="D158" s="82">
        <v>146</v>
      </c>
      <c r="E158" s="24">
        <f>I157+IF(Model!$E$32="Yes",(Model!$E$31=AmortSched!C158)*Model!$E$30*Model!$E$33,0)</f>
        <v>4795539.3656393625</v>
      </c>
      <c r="F158" s="24">
        <f>-PMT(Model!$E$40/12,(Model!$E$41*12)-(D158-1),E158)</f>
        <v>31279.600373497997</v>
      </c>
      <c r="G158" s="25">
        <f>E158*Model!$E$40/12</f>
        <v>15985.131218797875</v>
      </c>
      <c r="H158" s="24">
        <f t="shared" si="4"/>
        <v>15294.469154700122</v>
      </c>
      <c r="I158" s="16">
        <f t="shared" si="5"/>
        <v>4780244.8964846628</v>
      </c>
      <c r="J158" s="127"/>
    </row>
    <row r="159" spans="2:10" x14ac:dyDescent="0.25">
      <c r="B159" s="6"/>
      <c r="C159" s="13"/>
      <c r="D159" s="82">
        <v>147</v>
      </c>
      <c r="E159" s="24">
        <f>I158+IF(Model!$E$32="Yes",(Model!$E$31=AmortSched!C159)*Model!$E$30*Model!$E$33,0)</f>
        <v>4780244.8964846628</v>
      </c>
      <c r="F159" s="24">
        <f>-PMT(Model!$E$40/12,(Model!$E$41*12)-(D159-1),E159)</f>
        <v>31279.600373498004</v>
      </c>
      <c r="G159" s="25">
        <f>E159*Model!$E$40/12</f>
        <v>15934.149654948875</v>
      </c>
      <c r="H159" s="24">
        <f t="shared" si="4"/>
        <v>15345.450718549129</v>
      </c>
      <c r="I159" s="16">
        <f t="shared" si="5"/>
        <v>4764899.4457661137</v>
      </c>
      <c r="J159" s="127"/>
    </row>
    <row r="160" spans="2:10" x14ac:dyDescent="0.25">
      <c r="B160" s="6"/>
      <c r="C160" s="13"/>
      <c r="D160" s="82">
        <v>148</v>
      </c>
      <c r="E160" s="24">
        <f>I159+IF(Model!$E$32="Yes",(Model!$E$31=AmortSched!C160)*Model!$E$30*Model!$E$33,0)</f>
        <v>4764899.4457661137</v>
      </c>
      <c r="F160" s="24">
        <f>-PMT(Model!$E$40/12,(Model!$E$41*12)-(D160-1),E160)</f>
        <v>31279.600373498004</v>
      </c>
      <c r="G160" s="25">
        <f>E160*Model!$E$40/12</f>
        <v>15882.998152553713</v>
      </c>
      <c r="H160" s="24">
        <f t="shared" si="4"/>
        <v>15396.602220944291</v>
      </c>
      <c r="I160" s="16">
        <f t="shared" si="5"/>
        <v>4749502.8435451696</v>
      </c>
      <c r="J160" s="127"/>
    </row>
    <row r="161" spans="2:10" x14ac:dyDescent="0.25">
      <c r="B161" s="6"/>
      <c r="C161" s="13"/>
      <c r="D161" s="82">
        <v>149</v>
      </c>
      <c r="E161" s="24">
        <f>I160+IF(Model!$E$32="Yes",(Model!$E$31=AmortSched!C161)*Model!$E$30*Model!$E$33,0)</f>
        <v>4749502.8435451696</v>
      </c>
      <c r="F161" s="24">
        <f>-PMT(Model!$E$40/12,(Model!$E$41*12)-(D161-1),E161)</f>
        <v>31279.600373498004</v>
      </c>
      <c r="G161" s="25">
        <f>E161*Model!$E$40/12</f>
        <v>15831.676145150566</v>
      </c>
      <c r="H161" s="24">
        <f t="shared" si="4"/>
        <v>15447.924228347438</v>
      </c>
      <c r="I161" s="16">
        <f t="shared" si="5"/>
        <v>4734054.9193168217</v>
      </c>
      <c r="J161" s="127"/>
    </row>
    <row r="162" spans="2:10" x14ac:dyDescent="0.25">
      <c r="B162" s="6"/>
      <c r="C162" s="13"/>
      <c r="D162" s="82">
        <v>150</v>
      </c>
      <c r="E162" s="24">
        <f>I161+IF(Model!$E$32="Yes",(Model!$E$31=AmortSched!C162)*Model!$E$30*Model!$E$33,0)</f>
        <v>4734054.9193168217</v>
      </c>
      <c r="F162" s="24">
        <f>-PMT(Model!$E$40/12,(Model!$E$41*12)-(D162-1),E162)</f>
        <v>31279.600373498004</v>
      </c>
      <c r="G162" s="25">
        <f>E162*Model!$E$40/12</f>
        <v>15780.183064389406</v>
      </c>
      <c r="H162" s="24">
        <f t="shared" si="4"/>
        <v>15499.417309108598</v>
      </c>
      <c r="I162" s="16">
        <f t="shared" si="5"/>
        <v>4718555.5020077135</v>
      </c>
      <c r="J162" s="127"/>
    </row>
    <row r="163" spans="2:10" x14ac:dyDescent="0.25">
      <c r="B163" s="6"/>
      <c r="C163" s="13"/>
      <c r="D163" s="82">
        <v>151</v>
      </c>
      <c r="E163" s="24">
        <f>I162+IF(Model!$E$32="Yes",(Model!$E$31=AmortSched!C163)*Model!$E$30*Model!$E$33,0)</f>
        <v>4718555.5020077135</v>
      </c>
      <c r="F163" s="24">
        <f>-PMT(Model!$E$40/12,(Model!$E$41*12)-(D163-1),E163)</f>
        <v>31279.600373497997</v>
      </c>
      <c r="G163" s="25">
        <f>E163*Model!$E$40/12</f>
        <v>15728.518340025714</v>
      </c>
      <c r="H163" s="24">
        <f t="shared" si="4"/>
        <v>15551.082033472283</v>
      </c>
      <c r="I163" s="16">
        <f t="shared" si="5"/>
        <v>4703004.4199742414</v>
      </c>
      <c r="J163" s="127"/>
    </row>
    <row r="164" spans="2:10" x14ac:dyDescent="0.25">
      <c r="B164" s="6"/>
      <c r="C164" s="13"/>
      <c r="D164" s="82">
        <v>152</v>
      </c>
      <c r="E164" s="24">
        <f>I163+IF(Model!$E$32="Yes",(Model!$E$31=AmortSched!C164)*Model!$E$30*Model!$E$33,0)</f>
        <v>4703004.4199742414</v>
      </c>
      <c r="F164" s="24">
        <f>-PMT(Model!$E$40/12,(Model!$E$41*12)-(D164-1),E164)</f>
        <v>31279.600373498011</v>
      </c>
      <c r="G164" s="25">
        <f>E164*Model!$E$40/12</f>
        <v>15676.681399914138</v>
      </c>
      <c r="H164" s="24">
        <f t="shared" si="4"/>
        <v>15602.918973583874</v>
      </c>
      <c r="I164" s="16">
        <f t="shared" si="5"/>
        <v>4687401.5010006577</v>
      </c>
      <c r="J164" s="127"/>
    </row>
    <row r="165" spans="2:10" x14ac:dyDescent="0.25">
      <c r="B165" s="6"/>
      <c r="C165" s="13"/>
      <c r="D165" s="82">
        <v>153</v>
      </c>
      <c r="E165" s="24">
        <f>I164+IF(Model!$E$32="Yes",(Model!$E$31=AmortSched!C165)*Model!$E$30*Model!$E$33,0)</f>
        <v>4687401.5010006577</v>
      </c>
      <c r="F165" s="24">
        <f>-PMT(Model!$E$40/12,(Model!$E$41*12)-(D165-1),E165)</f>
        <v>31279.600373498004</v>
      </c>
      <c r="G165" s="25">
        <f>E165*Model!$E$40/12</f>
        <v>15624.671670002193</v>
      </c>
      <c r="H165" s="24">
        <f t="shared" si="4"/>
        <v>15654.928703495811</v>
      </c>
      <c r="I165" s="16">
        <f t="shared" si="5"/>
        <v>4671746.5722971614</v>
      </c>
      <c r="J165" s="127"/>
    </row>
    <row r="166" spans="2:10" x14ac:dyDescent="0.25">
      <c r="B166" s="6"/>
      <c r="C166" s="13"/>
      <c r="D166" s="82">
        <v>154</v>
      </c>
      <c r="E166" s="24">
        <f>I165+IF(Model!$E$32="Yes",(Model!$E$31=AmortSched!C166)*Model!$E$30*Model!$E$33,0)</f>
        <v>4671746.5722971614</v>
      </c>
      <c r="F166" s="24">
        <f>-PMT(Model!$E$40/12,(Model!$E$41*12)-(D166-1),E166)</f>
        <v>31279.600373498004</v>
      </c>
      <c r="G166" s="25">
        <f>E166*Model!$E$40/12</f>
        <v>15572.488574323872</v>
      </c>
      <c r="H166" s="24">
        <f t="shared" si="4"/>
        <v>15707.111799174132</v>
      </c>
      <c r="I166" s="16">
        <f t="shared" si="5"/>
        <v>4656039.4604979875</v>
      </c>
      <c r="J166" s="127"/>
    </row>
    <row r="167" spans="2:10" x14ac:dyDescent="0.25">
      <c r="B167" s="6"/>
      <c r="C167" s="13"/>
      <c r="D167" s="82">
        <v>155</v>
      </c>
      <c r="E167" s="24">
        <f>I166+IF(Model!$E$32="Yes",(Model!$E$31=AmortSched!C167)*Model!$E$30*Model!$E$33,0)</f>
        <v>4656039.4604979875</v>
      </c>
      <c r="F167" s="24">
        <f>-PMT(Model!$E$40/12,(Model!$E$41*12)-(D167-1),E167)</f>
        <v>31279.600373498011</v>
      </c>
      <c r="G167" s="25">
        <f>E167*Model!$E$40/12</f>
        <v>15520.131534993292</v>
      </c>
      <c r="H167" s="24">
        <f t="shared" si="4"/>
        <v>15759.468838504719</v>
      </c>
      <c r="I167" s="16">
        <f t="shared" si="5"/>
        <v>4640279.9916594829</v>
      </c>
      <c r="J167" s="127"/>
    </row>
    <row r="168" spans="2:10" x14ac:dyDescent="0.25">
      <c r="B168" s="6"/>
      <c r="C168" s="13"/>
      <c r="D168" s="82">
        <v>156</v>
      </c>
      <c r="E168" s="24">
        <f>I167+IF(Model!$E$32="Yes",(Model!$E$31=AmortSched!C168)*Model!$E$30*Model!$E$33,0)</f>
        <v>4640279.9916594829</v>
      </c>
      <c r="F168" s="24">
        <f>-PMT(Model!$E$40/12,(Model!$E$41*12)-(D168-1),E168)</f>
        <v>31279.600373498004</v>
      </c>
      <c r="G168" s="25">
        <f>E168*Model!$E$40/12</f>
        <v>15467.599972198275</v>
      </c>
      <c r="H168" s="24">
        <f t="shared" si="4"/>
        <v>15812.000401299729</v>
      </c>
      <c r="I168" s="16">
        <f t="shared" si="5"/>
        <v>4624467.9912581835</v>
      </c>
      <c r="J168" s="127"/>
    </row>
    <row r="169" spans="2:10" x14ac:dyDescent="0.25">
      <c r="B169" s="6"/>
      <c r="C169" s="13"/>
      <c r="D169" s="82">
        <v>157</v>
      </c>
      <c r="E169" s="24">
        <f>I168+IF(Model!$E$32="Yes",(Model!$E$31=AmortSched!C169)*Model!$E$30*Model!$E$33,0)</f>
        <v>4624467.9912581835</v>
      </c>
      <c r="F169" s="24">
        <f>-PMT(Model!$E$40/12,(Model!$E$41*12)-(D169-1),E169)</f>
        <v>31279.600373498004</v>
      </c>
      <c r="G169" s="25">
        <f>E169*Model!$E$40/12</f>
        <v>15414.893304193945</v>
      </c>
      <c r="H169" s="24">
        <f t="shared" si="4"/>
        <v>15864.707069304059</v>
      </c>
      <c r="I169" s="16">
        <f t="shared" si="5"/>
        <v>4608603.2841888797</v>
      </c>
      <c r="J169" s="127"/>
    </row>
    <row r="170" spans="2:10" x14ac:dyDescent="0.25">
      <c r="B170" s="6"/>
      <c r="C170" s="13"/>
      <c r="D170" s="82">
        <v>158</v>
      </c>
      <c r="E170" s="24">
        <f>I169+IF(Model!$E$32="Yes",(Model!$E$31=AmortSched!C170)*Model!$E$30*Model!$E$33,0)</f>
        <v>4608603.2841888797</v>
      </c>
      <c r="F170" s="24">
        <f>-PMT(Model!$E$40/12,(Model!$E$41*12)-(D170-1),E170)</f>
        <v>31279.600373498004</v>
      </c>
      <c r="G170" s="25">
        <f>E170*Model!$E$40/12</f>
        <v>15362.010947296265</v>
      </c>
      <c r="H170" s="24">
        <f t="shared" si="4"/>
        <v>15917.589426201739</v>
      </c>
      <c r="I170" s="16">
        <f t="shared" si="5"/>
        <v>4592685.6947626779</v>
      </c>
      <c r="J170" s="127"/>
    </row>
    <row r="171" spans="2:10" x14ac:dyDescent="0.25">
      <c r="B171" s="6"/>
      <c r="C171" s="13"/>
      <c r="D171" s="82">
        <v>159</v>
      </c>
      <c r="E171" s="24">
        <f>I170+IF(Model!$E$32="Yes",(Model!$E$31=AmortSched!C171)*Model!$E$30*Model!$E$33,0)</f>
        <v>4592685.6947626779</v>
      </c>
      <c r="F171" s="24">
        <f>-PMT(Model!$E$40/12,(Model!$E$41*12)-(D171-1),E171)</f>
        <v>31279.600373498004</v>
      </c>
      <c r="G171" s="25">
        <f>E171*Model!$E$40/12</f>
        <v>15308.952315875593</v>
      </c>
      <c r="H171" s="24">
        <f t="shared" si="4"/>
        <v>15970.648057622411</v>
      </c>
      <c r="I171" s="16">
        <f t="shared" si="5"/>
        <v>4576715.0467050551</v>
      </c>
      <c r="J171" s="127"/>
    </row>
    <row r="172" spans="2:10" x14ac:dyDescent="0.25">
      <c r="B172" s="6"/>
      <c r="C172" s="13"/>
      <c r="D172" s="82">
        <v>160</v>
      </c>
      <c r="E172" s="24">
        <f>I171+IF(Model!$E$32="Yes",(Model!$E$31=AmortSched!C172)*Model!$E$30*Model!$E$33,0)</f>
        <v>4576715.0467050551</v>
      </c>
      <c r="F172" s="24">
        <f>-PMT(Model!$E$40/12,(Model!$E$41*12)-(D172-1),E172)</f>
        <v>31279.600373498004</v>
      </c>
      <c r="G172" s="25">
        <f>E172*Model!$E$40/12</f>
        <v>15255.716822350185</v>
      </c>
      <c r="H172" s="24">
        <f t="shared" si="4"/>
        <v>16023.883551147819</v>
      </c>
      <c r="I172" s="16">
        <f t="shared" si="5"/>
        <v>4560691.1631539073</v>
      </c>
      <c r="J172" s="127"/>
    </row>
    <row r="173" spans="2:10" x14ac:dyDescent="0.25">
      <c r="B173" s="6"/>
      <c r="C173" s="13"/>
      <c r="D173" s="82">
        <v>161</v>
      </c>
      <c r="E173" s="24">
        <f>I172+IF(Model!$E$32="Yes",(Model!$E$31=AmortSched!C173)*Model!$E$30*Model!$E$33,0)</f>
        <v>4560691.1631539073</v>
      </c>
      <c r="F173" s="24">
        <f>-PMT(Model!$E$40/12,(Model!$E$41*12)-(D173-1),E173)</f>
        <v>31279.600373498004</v>
      </c>
      <c r="G173" s="25">
        <f>E173*Model!$E$40/12</f>
        <v>15202.303877179691</v>
      </c>
      <c r="H173" s="24">
        <f t="shared" si="4"/>
        <v>16077.296496318313</v>
      </c>
      <c r="I173" s="16">
        <f t="shared" si="5"/>
        <v>4544613.8666575886</v>
      </c>
      <c r="J173" s="127"/>
    </row>
    <row r="174" spans="2:10" x14ac:dyDescent="0.25">
      <c r="B174" s="6"/>
      <c r="C174" s="13"/>
      <c r="D174" s="82">
        <v>162</v>
      </c>
      <c r="E174" s="24">
        <f>I173+IF(Model!$E$32="Yes",(Model!$E$31=AmortSched!C174)*Model!$E$30*Model!$E$33,0)</f>
        <v>4544613.8666575886</v>
      </c>
      <c r="F174" s="24">
        <f>-PMT(Model!$E$40/12,(Model!$E$41*12)-(D174-1),E174)</f>
        <v>31279.600373498004</v>
      </c>
      <c r="G174" s="25">
        <f>E174*Model!$E$40/12</f>
        <v>15148.712888858629</v>
      </c>
      <c r="H174" s="24">
        <f t="shared" si="4"/>
        <v>16130.887484639376</v>
      </c>
      <c r="I174" s="16">
        <f t="shared" si="5"/>
        <v>4528482.9791729497</v>
      </c>
      <c r="J174" s="127"/>
    </row>
    <row r="175" spans="2:10" x14ac:dyDescent="0.25">
      <c r="B175" s="6"/>
      <c r="C175" s="13"/>
      <c r="D175" s="82">
        <v>163</v>
      </c>
      <c r="E175" s="24">
        <f>I174+IF(Model!$E$32="Yes",(Model!$E$31=AmortSched!C175)*Model!$E$30*Model!$E$33,0)</f>
        <v>4528482.9791729497</v>
      </c>
      <c r="F175" s="24">
        <f>-PMT(Model!$E$40/12,(Model!$E$41*12)-(D175-1),E175)</f>
        <v>31279.600373498004</v>
      </c>
      <c r="G175" s="25">
        <f>E175*Model!$E$40/12</f>
        <v>15094.943263909832</v>
      </c>
      <c r="H175" s="24">
        <f t="shared" si="4"/>
        <v>16184.657109588172</v>
      </c>
      <c r="I175" s="16">
        <f t="shared" si="5"/>
        <v>4512298.3220633613</v>
      </c>
      <c r="J175" s="127"/>
    </row>
    <row r="176" spans="2:10" x14ac:dyDescent="0.25">
      <c r="B176" s="6"/>
      <c r="C176" s="13"/>
      <c r="D176" s="82">
        <v>164</v>
      </c>
      <c r="E176" s="24">
        <f>I175+IF(Model!$E$32="Yes",(Model!$E$31=AmortSched!C176)*Model!$E$30*Model!$E$33,0)</f>
        <v>4512298.3220633613</v>
      </c>
      <c r="F176" s="24">
        <f>-PMT(Model!$E$40/12,(Model!$E$41*12)-(D176-1),E176)</f>
        <v>31279.600373498004</v>
      </c>
      <c r="G176" s="25">
        <f>E176*Model!$E$40/12</f>
        <v>15040.994406877871</v>
      </c>
      <c r="H176" s="24">
        <f t="shared" si="4"/>
        <v>16238.605966620133</v>
      </c>
      <c r="I176" s="16">
        <f t="shared" si="5"/>
        <v>4496059.7160967411</v>
      </c>
      <c r="J176" s="127"/>
    </row>
    <row r="177" spans="2:10" x14ac:dyDescent="0.25">
      <c r="B177" s="6"/>
      <c r="C177" s="13"/>
      <c r="D177" s="82">
        <v>165</v>
      </c>
      <c r="E177" s="24">
        <f>I176+IF(Model!$E$32="Yes",(Model!$E$31=AmortSched!C177)*Model!$E$30*Model!$E$33,0)</f>
        <v>4496059.7160967411</v>
      </c>
      <c r="F177" s="24">
        <f>-PMT(Model!$E$40/12,(Model!$E$41*12)-(D177-1),E177)</f>
        <v>31279.600373498004</v>
      </c>
      <c r="G177" s="25">
        <f>E177*Model!$E$40/12</f>
        <v>14986.86572032247</v>
      </c>
      <c r="H177" s="24">
        <f t="shared" si="4"/>
        <v>16292.734653175534</v>
      </c>
      <c r="I177" s="16">
        <f t="shared" si="5"/>
        <v>4479766.9814435653</v>
      </c>
      <c r="J177" s="127"/>
    </row>
    <row r="178" spans="2:10" x14ac:dyDescent="0.25">
      <c r="B178" s="6"/>
      <c r="C178" s="13"/>
      <c r="D178" s="82">
        <v>166</v>
      </c>
      <c r="E178" s="24">
        <f>I177+IF(Model!$E$32="Yes",(Model!$E$31=AmortSched!C178)*Model!$E$30*Model!$E$33,0)</f>
        <v>4479766.9814435653</v>
      </c>
      <c r="F178" s="24">
        <f>-PMT(Model!$E$40/12,(Model!$E$41*12)-(D178-1),E178)</f>
        <v>31279.600373498004</v>
      </c>
      <c r="G178" s="25">
        <f>E178*Model!$E$40/12</f>
        <v>14932.556604811885</v>
      </c>
      <c r="H178" s="24">
        <f t="shared" si="4"/>
        <v>16347.043768686119</v>
      </c>
      <c r="I178" s="16">
        <f t="shared" si="5"/>
        <v>4463419.9376748791</v>
      </c>
      <c r="J178" s="127"/>
    </row>
    <row r="179" spans="2:10" x14ac:dyDescent="0.25">
      <c r="B179" s="6"/>
      <c r="C179" s="13"/>
      <c r="D179" s="82">
        <v>167</v>
      </c>
      <c r="E179" s="24">
        <f>I178+IF(Model!$E$32="Yes",(Model!$E$31=AmortSched!C179)*Model!$E$30*Model!$E$33,0)</f>
        <v>4463419.9376748791</v>
      </c>
      <c r="F179" s="24">
        <f>-PMT(Model!$E$40/12,(Model!$E$41*12)-(D179-1),E179)</f>
        <v>31279.600373497997</v>
      </c>
      <c r="G179" s="25">
        <f>E179*Model!$E$40/12</f>
        <v>14878.066458916264</v>
      </c>
      <c r="H179" s="24">
        <f t="shared" si="4"/>
        <v>16401.533914581734</v>
      </c>
      <c r="I179" s="16">
        <f t="shared" si="5"/>
        <v>4447018.4037602972</v>
      </c>
      <c r="J179" s="127"/>
    </row>
    <row r="180" spans="2:10" x14ac:dyDescent="0.25">
      <c r="B180" s="6"/>
      <c r="C180" s="13"/>
      <c r="D180" s="82">
        <v>168</v>
      </c>
      <c r="E180" s="24">
        <f>I179+IF(Model!$E$32="Yes",(Model!$E$31=AmortSched!C180)*Model!$E$30*Model!$E$33,0)</f>
        <v>4447018.4037602972</v>
      </c>
      <c r="F180" s="24">
        <f>-PMT(Model!$E$40/12,(Model!$E$41*12)-(D180-1),E180)</f>
        <v>31279.600373498004</v>
      </c>
      <c r="G180" s="25">
        <f>E180*Model!$E$40/12</f>
        <v>14823.39467920099</v>
      </c>
      <c r="H180" s="24">
        <f t="shared" si="4"/>
        <v>16456.205694297016</v>
      </c>
      <c r="I180" s="16">
        <f t="shared" si="5"/>
        <v>4430562.1980659999</v>
      </c>
      <c r="J180" s="127"/>
    </row>
    <row r="181" spans="2:10" x14ac:dyDescent="0.25">
      <c r="B181" s="6"/>
      <c r="C181" s="13"/>
      <c r="D181" s="82">
        <v>169</v>
      </c>
      <c r="E181" s="24">
        <f>I180+IF(Model!$E$32="Yes",(Model!$E$31=AmortSched!C181)*Model!$E$30*Model!$E$33,0)</f>
        <v>4430562.1980659999</v>
      </c>
      <c r="F181" s="24">
        <f>-PMT(Model!$E$40/12,(Model!$E$41*12)-(D181-1),E181)</f>
        <v>31279.600373497997</v>
      </c>
      <c r="G181" s="25">
        <f>E181*Model!$E$40/12</f>
        <v>14768.54066022</v>
      </c>
      <c r="H181" s="24">
        <f t="shared" si="4"/>
        <v>16511.059713277995</v>
      </c>
      <c r="I181" s="16">
        <f t="shared" si="5"/>
        <v>4414051.1383527219</v>
      </c>
      <c r="J181" s="127"/>
    </row>
    <row r="182" spans="2:10" x14ac:dyDescent="0.25">
      <c r="B182" s="6"/>
      <c r="C182" s="13"/>
      <c r="D182" s="82">
        <v>170</v>
      </c>
      <c r="E182" s="24">
        <f>I181+IF(Model!$E$32="Yes",(Model!$E$31=AmortSched!C182)*Model!$E$30*Model!$E$33,0)</f>
        <v>4414051.1383527219</v>
      </c>
      <c r="F182" s="24">
        <f>-PMT(Model!$E$40/12,(Model!$E$41*12)-(D182-1),E182)</f>
        <v>31279.600373497997</v>
      </c>
      <c r="G182" s="25">
        <f>E182*Model!$E$40/12</f>
        <v>14713.503794509073</v>
      </c>
      <c r="H182" s="24">
        <f t="shared" si="4"/>
        <v>16566.096578988923</v>
      </c>
      <c r="I182" s="16">
        <f t="shared" si="5"/>
        <v>4397485.0417737328</v>
      </c>
      <c r="J182" s="127"/>
    </row>
    <row r="183" spans="2:10" x14ac:dyDescent="0.25">
      <c r="B183" s="6"/>
      <c r="C183" s="13"/>
      <c r="D183" s="82">
        <v>171</v>
      </c>
      <c r="E183" s="24">
        <f>I182+IF(Model!$E$32="Yes",(Model!$E$31=AmortSched!C183)*Model!$E$30*Model!$E$33,0)</f>
        <v>4397485.0417737328</v>
      </c>
      <c r="F183" s="24">
        <f>-PMT(Model!$E$40/12,(Model!$E$41*12)-(D183-1),E183)</f>
        <v>31279.600373497997</v>
      </c>
      <c r="G183" s="25">
        <f>E183*Model!$E$40/12</f>
        <v>14658.283472579109</v>
      </c>
      <c r="H183" s="24">
        <f t="shared" si="4"/>
        <v>16621.316900918886</v>
      </c>
      <c r="I183" s="16">
        <f t="shared" si="5"/>
        <v>4380863.7248728136</v>
      </c>
      <c r="J183" s="127"/>
    </row>
    <row r="184" spans="2:10" x14ac:dyDescent="0.25">
      <c r="B184" s="6"/>
      <c r="C184" s="13"/>
      <c r="D184" s="82">
        <v>172</v>
      </c>
      <c r="E184" s="24">
        <f>I183+IF(Model!$E$32="Yes",(Model!$E$31=AmortSched!C184)*Model!$E$30*Model!$E$33,0)</f>
        <v>4380863.7248728136</v>
      </c>
      <c r="F184" s="24">
        <f>-PMT(Model!$E$40/12,(Model!$E$41*12)-(D184-1),E184)</f>
        <v>31279.600373497997</v>
      </c>
      <c r="G184" s="25">
        <f>E184*Model!$E$40/12</f>
        <v>14602.879082909378</v>
      </c>
      <c r="H184" s="24">
        <f t="shared" si="4"/>
        <v>16676.721290588619</v>
      </c>
      <c r="I184" s="16">
        <f t="shared" si="5"/>
        <v>4364187.0035822252</v>
      </c>
      <c r="J184" s="127"/>
    </row>
    <row r="185" spans="2:10" x14ac:dyDescent="0.25">
      <c r="B185" s="6"/>
      <c r="C185" s="13"/>
      <c r="D185" s="82">
        <v>173</v>
      </c>
      <c r="E185" s="24">
        <f>I184+IF(Model!$E$32="Yes",(Model!$E$31=AmortSched!C185)*Model!$E$30*Model!$E$33,0)</f>
        <v>4364187.0035822252</v>
      </c>
      <c r="F185" s="24">
        <f>-PMT(Model!$E$40/12,(Model!$E$41*12)-(D185-1),E185)</f>
        <v>31279.600373497997</v>
      </c>
      <c r="G185" s="25">
        <f>E185*Model!$E$40/12</f>
        <v>14547.290011940751</v>
      </c>
      <c r="H185" s="24">
        <f t="shared" si="4"/>
        <v>16732.310361557247</v>
      </c>
      <c r="I185" s="16">
        <f t="shared" si="5"/>
        <v>4347454.6932206675</v>
      </c>
      <c r="J185" s="127"/>
    </row>
    <row r="186" spans="2:10" x14ac:dyDescent="0.25">
      <c r="B186" s="6"/>
      <c r="C186" s="13"/>
      <c r="D186" s="82">
        <v>174</v>
      </c>
      <c r="E186" s="24">
        <f>I185+IF(Model!$E$32="Yes",(Model!$E$31=AmortSched!C186)*Model!$E$30*Model!$E$33,0)</f>
        <v>4347454.6932206675</v>
      </c>
      <c r="F186" s="24">
        <f>-PMT(Model!$E$40/12,(Model!$E$41*12)-(D186-1),E186)</f>
        <v>31279.600373497997</v>
      </c>
      <c r="G186" s="25">
        <f>E186*Model!$E$40/12</f>
        <v>14491.515644068893</v>
      </c>
      <c r="H186" s="24">
        <f t="shared" si="4"/>
        <v>16788.084729429102</v>
      </c>
      <c r="I186" s="16">
        <f t="shared" si="5"/>
        <v>4330666.6084912382</v>
      </c>
      <c r="J186" s="127"/>
    </row>
    <row r="187" spans="2:10" x14ac:dyDescent="0.25">
      <c r="B187" s="6"/>
      <c r="C187" s="13"/>
      <c r="D187" s="82">
        <v>175</v>
      </c>
      <c r="E187" s="24">
        <f>I186+IF(Model!$E$32="Yes",(Model!$E$31=AmortSched!C187)*Model!$E$30*Model!$E$33,0)</f>
        <v>4330666.6084912382</v>
      </c>
      <c r="F187" s="24">
        <f>-PMT(Model!$E$40/12,(Model!$E$41*12)-(D187-1),E187)</f>
        <v>31279.600373497997</v>
      </c>
      <c r="G187" s="25">
        <f>E187*Model!$E$40/12</f>
        <v>14435.55536163746</v>
      </c>
      <c r="H187" s="24">
        <f t="shared" si="4"/>
        <v>16844.045011860537</v>
      </c>
      <c r="I187" s="16">
        <f t="shared" si="5"/>
        <v>4313822.5634793779</v>
      </c>
      <c r="J187" s="127"/>
    </row>
    <row r="188" spans="2:10" x14ac:dyDescent="0.25">
      <c r="B188" s="6"/>
      <c r="C188" s="13"/>
      <c r="D188" s="82">
        <v>176</v>
      </c>
      <c r="E188" s="24">
        <f>I187+IF(Model!$E$32="Yes",(Model!$E$31=AmortSched!C188)*Model!$E$30*Model!$E$33,0)</f>
        <v>4313822.5634793779</v>
      </c>
      <c r="F188" s="24">
        <f>-PMT(Model!$E$40/12,(Model!$E$41*12)-(D188-1),E188)</f>
        <v>31279.600373497993</v>
      </c>
      <c r="G188" s="25">
        <f>E188*Model!$E$40/12</f>
        <v>14379.408544931261</v>
      </c>
      <c r="H188" s="24">
        <f t="shared" si="4"/>
        <v>16900.191828566734</v>
      </c>
      <c r="I188" s="16">
        <f t="shared" si="5"/>
        <v>4296922.3716508113</v>
      </c>
      <c r="J188" s="127"/>
    </row>
    <row r="189" spans="2:10" x14ac:dyDescent="0.25">
      <c r="B189" s="6"/>
      <c r="C189" s="13"/>
      <c r="D189" s="82">
        <v>177</v>
      </c>
      <c r="E189" s="24">
        <f>I188+IF(Model!$E$32="Yes",(Model!$E$31=AmortSched!C189)*Model!$E$30*Model!$E$33,0)</f>
        <v>4296922.3716508113</v>
      </c>
      <c r="F189" s="24">
        <f>-PMT(Model!$E$40/12,(Model!$E$41*12)-(D189-1),E189)</f>
        <v>31279.600373497993</v>
      </c>
      <c r="G189" s="25">
        <f>E189*Model!$E$40/12</f>
        <v>14323.074572169373</v>
      </c>
      <c r="H189" s="24">
        <f t="shared" si="4"/>
        <v>16956.525801328622</v>
      </c>
      <c r="I189" s="16">
        <f t="shared" si="5"/>
        <v>4279965.8458494823</v>
      </c>
      <c r="J189" s="127"/>
    </row>
    <row r="190" spans="2:10" x14ac:dyDescent="0.25">
      <c r="B190" s="6"/>
      <c r="C190" s="13"/>
      <c r="D190" s="82">
        <v>178</v>
      </c>
      <c r="E190" s="24">
        <f>I189+IF(Model!$E$32="Yes",(Model!$E$31=AmortSched!C190)*Model!$E$30*Model!$E$33,0)</f>
        <v>4279965.8458494823</v>
      </c>
      <c r="F190" s="24">
        <f>-PMT(Model!$E$40/12,(Model!$E$41*12)-(D190-1),E190)</f>
        <v>31279.600373497997</v>
      </c>
      <c r="G190" s="25">
        <f>E190*Model!$E$40/12</f>
        <v>14266.552819498274</v>
      </c>
      <c r="H190" s="24">
        <f t="shared" si="4"/>
        <v>17013.047553999721</v>
      </c>
      <c r="I190" s="16">
        <f t="shared" si="5"/>
        <v>4262952.798295483</v>
      </c>
      <c r="J190" s="127"/>
    </row>
    <row r="191" spans="2:10" x14ac:dyDescent="0.25">
      <c r="B191" s="6"/>
      <c r="C191" s="13"/>
      <c r="D191" s="82">
        <v>179</v>
      </c>
      <c r="E191" s="24">
        <f>I190+IF(Model!$E$32="Yes",(Model!$E$31=AmortSched!C191)*Model!$E$30*Model!$E$33,0)</f>
        <v>4262952.798295483</v>
      </c>
      <c r="F191" s="24">
        <f>-PMT(Model!$E$40/12,(Model!$E$41*12)-(D191-1),E191)</f>
        <v>31279.600373497997</v>
      </c>
      <c r="G191" s="25">
        <f>E191*Model!$E$40/12</f>
        <v>14209.842660984943</v>
      </c>
      <c r="H191" s="24">
        <f t="shared" si="4"/>
        <v>17069.757712513056</v>
      </c>
      <c r="I191" s="16">
        <f t="shared" si="5"/>
        <v>4245883.0405829698</v>
      </c>
      <c r="J191" s="127"/>
    </row>
    <row r="192" spans="2:10" x14ac:dyDescent="0.25">
      <c r="B192" s="6"/>
      <c r="C192" s="13"/>
      <c r="D192" s="82">
        <v>180</v>
      </c>
      <c r="E192" s="24">
        <f>I191+IF(Model!$E$32="Yes",(Model!$E$31=AmortSched!C192)*Model!$E$30*Model!$E$33,0)</f>
        <v>4245883.0405829698</v>
      </c>
      <c r="F192" s="24">
        <f>-PMT(Model!$E$40/12,(Model!$E$41*12)-(D192-1),E192)</f>
        <v>31279.600373497997</v>
      </c>
      <c r="G192" s="25">
        <f>E192*Model!$E$40/12</f>
        <v>14152.943468609899</v>
      </c>
      <c r="H192" s="24">
        <f t="shared" si="4"/>
        <v>17126.656904888099</v>
      </c>
      <c r="I192" s="16">
        <f t="shared" si="5"/>
        <v>4228756.3836780814</v>
      </c>
      <c r="J192" s="127"/>
    </row>
    <row r="193" spans="2:10" x14ac:dyDescent="0.25">
      <c r="B193" s="6"/>
      <c r="C193" s="13"/>
      <c r="D193" s="82">
        <v>181</v>
      </c>
      <c r="E193" s="24">
        <f>I192+IF(Model!$E$32="Yes",(Model!$E$31=AmortSched!C193)*Model!$E$30*Model!$E$33,0)</f>
        <v>4228756.3836780814</v>
      </c>
      <c r="F193" s="24">
        <f>-PMT(Model!$E$40/12,(Model!$E$41*12)-(D193-1),E193)</f>
        <v>31279.600373497993</v>
      </c>
      <c r="G193" s="25">
        <f>E193*Model!$E$40/12</f>
        <v>14095.854612260271</v>
      </c>
      <c r="H193" s="24">
        <f t="shared" si="4"/>
        <v>17183.745761237722</v>
      </c>
      <c r="I193" s="16">
        <f t="shared" si="5"/>
        <v>4211572.6379168434</v>
      </c>
      <c r="J193" s="127"/>
    </row>
    <row r="194" spans="2:10" x14ac:dyDescent="0.25">
      <c r="B194" s="6"/>
      <c r="C194" s="13"/>
      <c r="D194" s="82">
        <v>182</v>
      </c>
      <c r="E194" s="24">
        <f>I193+IF(Model!$E$32="Yes",(Model!$E$31=AmortSched!C194)*Model!$E$30*Model!$E$33,0)</f>
        <v>4211572.6379168434</v>
      </c>
      <c r="F194" s="24">
        <f>-PMT(Model!$E$40/12,(Model!$E$41*12)-(D194-1),E194)</f>
        <v>31279.600373497993</v>
      </c>
      <c r="G194" s="25">
        <f>E194*Model!$E$40/12</f>
        <v>14038.575459722813</v>
      </c>
      <c r="H194" s="24">
        <f t="shared" si="4"/>
        <v>17241.024913775182</v>
      </c>
      <c r="I194" s="16">
        <f t="shared" si="5"/>
        <v>4194331.6130030686</v>
      </c>
      <c r="J194" s="127"/>
    </row>
    <row r="195" spans="2:10" x14ac:dyDescent="0.25">
      <c r="B195" s="6"/>
      <c r="C195" s="13"/>
      <c r="D195" s="82">
        <v>183</v>
      </c>
      <c r="E195" s="24">
        <f>I194+IF(Model!$E$32="Yes",(Model!$E$31=AmortSched!C195)*Model!$E$30*Model!$E$33,0)</f>
        <v>4194331.6130030686</v>
      </c>
      <c r="F195" s="24">
        <f>-PMT(Model!$E$40/12,(Model!$E$41*12)-(D195-1),E195)</f>
        <v>31279.600373498004</v>
      </c>
      <c r="G195" s="25">
        <f>E195*Model!$E$40/12</f>
        <v>13981.105376676896</v>
      </c>
      <c r="H195" s="24">
        <f t="shared" si="4"/>
        <v>17298.494996821108</v>
      </c>
      <c r="I195" s="16">
        <f t="shared" si="5"/>
        <v>4177033.1180062476</v>
      </c>
      <c r="J195" s="127"/>
    </row>
    <row r="196" spans="2:10" x14ac:dyDescent="0.25">
      <c r="B196" s="6"/>
      <c r="C196" s="13"/>
      <c r="D196" s="82">
        <v>184</v>
      </c>
      <c r="E196" s="24">
        <f>I195+IF(Model!$E$32="Yes",(Model!$E$31=AmortSched!C196)*Model!$E$30*Model!$E$33,0)</f>
        <v>4177033.1180062476</v>
      </c>
      <c r="F196" s="24">
        <f>-PMT(Model!$E$40/12,(Model!$E$41*12)-(D196-1),E196)</f>
        <v>31279.600373497993</v>
      </c>
      <c r="G196" s="25">
        <f>E196*Model!$E$40/12</f>
        <v>13923.443726687494</v>
      </c>
      <c r="H196" s="24">
        <f t="shared" si="4"/>
        <v>17356.156646810501</v>
      </c>
      <c r="I196" s="16">
        <f t="shared" si="5"/>
        <v>4159676.9613594371</v>
      </c>
      <c r="J196" s="127"/>
    </row>
    <row r="197" spans="2:10" x14ac:dyDescent="0.25">
      <c r="B197" s="6"/>
      <c r="C197" s="13"/>
      <c r="D197" s="82">
        <v>185</v>
      </c>
      <c r="E197" s="24">
        <f>I196+IF(Model!$E$32="Yes",(Model!$E$31=AmortSched!C197)*Model!$E$30*Model!$E$33,0)</f>
        <v>4159676.9613594371</v>
      </c>
      <c r="F197" s="24">
        <f>-PMT(Model!$E$40/12,(Model!$E$41*12)-(D197-1),E197)</f>
        <v>31279.600373497997</v>
      </c>
      <c r="G197" s="25">
        <f>E197*Model!$E$40/12</f>
        <v>13865.589871198123</v>
      </c>
      <c r="H197" s="24">
        <f t="shared" si="4"/>
        <v>17414.010502299876</v>
      </c>
      <c r="I197" s="16">
        <f t="shared" si="5"/>
        <v>4142262.9508571373</v>
      </c>
      <c r="J197" s="127"/>
    </row>
    <row r="198" spans="2:10" x14ac:dyDescent="0.25">
      <c r="B198" s="6"/>
      <c r="C198" s="13"/>
      <c r="D198" s="82">
        <v>186</v>
      </c>
      <c r="E198" s="24">
        <f>I197+IF(Model!$E$32="Yes",(Model!$E$31=AmortSched!C198)*Model!$E$30*Model!$E$33,0)</f>
        <v>4142262.9508571373</v>
      </c>
      <c r="F198" s="24">
        <f>-PMT(Model!$E$40/12,(Model!$E$41*12)-(D198-1),E198)</f>
        <v>31279.600373497993</v>
      </c>
      <c r="G198" s="25">
        <f>E198*Model!$E$40/12</f>
        <v>13807.543169523791</v>
      </c>
      <c r="H198" s="24">
        <f t="shared" si="4"/>
        <v>17472.057203974204</v>
      </c>
      <c r="I198" s="16">
        <f t="shared" si="5"/>
        <v>4124790.8936531632</v>
      </c>
      <c r="J198" s="127"/>
    </row>
    <row r="199" spans="2:10" x14ac:dyDescent="0.25">
      <c r="B199" s="6"/>
      <c r="C199" s="13"/>
      <c r="D199" s="82">
        <v>187</v>
      </c>
      <c r="E199" s="24">
        <f>I198+IF(Model!$E$32="Yes",(Model!$E$31=AmortSched!C199)*Model!$E$30*Model!$E$33,0)</f>
        <v>4124790.8936531632</v>
      </c>
      <c r="F199" s="24">
        <f>-PMT(Model!$E$40/12,(Model!$E$41*12)-(D199-1),E199)</f>
        <v>31279.600373497997</v>
      </c>
      <c r="G199" s="25">
        <f>E199*Model!$E$40/12</f>
        <v>13749.302978843878</v>
      </c>
      <c r="H199" s="24">
        <f t="shared" si="4"/>
        <v>17530.297394654117</v>
      </c>
      <c r="I199" s="16">
        <f t="shared" si="5"/>
        <v>4107260.596258509</v>
      </c>
      <c r="J199" s="127"/>
    </row>
    <row r="200" spans="2:10" x14ac:dyDescent="0.25">
      <c r="B200" s="6"/>
      <c r="C200" s="13"/>
      <c r="D200" s="82">
        <v>188</v>
      </c>
      <c r="E200" s="24">
        <f>I199+IF(Model!$E$32="Yes",(Model!$E$31=AmortSched!C200)*Model!$E$30*Model!$E$33,0)</f>
        <v>4107260.596258509</v>
      </c>
      <c r="F200" s="24">
        <f>-PMT(Model!$E$40/12,(Model!$E$41*12)-(D200-1),E200)</f>
        <v>31279.600373497993</v>
      </c>
      <c r="G200" s="25">
        <f>E200*Model!$E$40/12</f>
        <v>13690.86865419503</v>
      </c>
      <c r="H200" s="24">
        <f t="shared" si="4"/>
        <v>17588.731719302963</v>
      </c>
      <c r="I200" s="16">
        <f t="shared" si="5"/>
        <v>4089671.864539206</v>
      </c>
      <c r="J200" s="127"/>
    </row>
    <row r="201" spans="2:10" x14ac:dyDescent="0.25">
      <c r="B201" s="6"/>
      <c r="C201" s="13"/>
      <c r="D201" s="82">
        <v>189</v>
      </c>
      <c r="E201" s="24">
        <f>I200+IF(Model!$E$32="Yes",(Model!$E$31=AmortSched!C201)*Model!$E$30*Model!$E$33,0)</f>
        <v>4089671.864539206</v>
      </c>
      <c r="F201" s="24">
        <f>-PMT(Model!$E$40/12,(Model!$E$41*12)-(D201-1),E201)</f>
        <v>31279.600373498004</v>
      </c>
      <c r="G201" s="25">
        <f>E201*Model!$E$40/12</f>
        <v>13632.23954846402</v>
      </c>
      <c r="H201" s="24">
        <f t="shared" si="4"/>
        <v>17647.360825033982</v>
      </c>
      <c r="I201" s="16">
        <f t="shared" si="5"/>
        <v>4072024.5037141722</v>
      </c>
      <c r="J201" s="127"/>
    </row>
    <row r="202" spans="2:10" x14ac:dyDescent="0.25">
      <c r="B202" s="6"/>
      <c r="C202" s="13"/>
      <c r="D202" s="82">
        <v>190</v>
      </c>
      <c r="E202" s="24">
        <f>I201+IF(Model!$E$32="Yes",(Model!$E$31=AmortSched!C202)*Model!$E$30*Model!$E$33,0)</f>
        <v>4072024.5037141722</v>
      </c>
      <c r="F202" s="24">
        <f>-PMT(Model!$E$40/12,(Model!$E$41*12)-(D202-1),E202)</f>
        <v>31279.600373497997</v>
      </c>
      <c r="G202" s="25">
        <f>E202*Model!$E$40/12</f>
        <v>13573.415012380574</v>
      </c>
      <c r="H202" s="24">
        <f t="shared" si="4"/>
        <v>17706.185361117423</v>
      </c>
      <c r="I202" s="16">
        <f t="shared" si="5"/>
        <v>4054318.3183530546</v>
      </c>
      <c r="J202" s="127"/>
    </row>
    <row r="203" spans="2:10" x14ac:dyDescent="0.25">
      <c r="B203" s="6"/>
      <c r="C203" s="13"/>
      <c r="D203" s="82">
        <v>191</v>
      </c>
      <c r="E203" s="24">
        <f>I202+IF(Model!$E$32="Yes",(Model!$E$31=AmortSched!C203)*Model!$E$30*Model!$E$33,0)</f>
        <v>4054318.3183530546</v>
      </c>
      <c r="F203" s="24">
        <f>-PMT(Model!$E$40/12,(Model!$E$41*12)-(D203-1),E203)</f>
        <v>31279.600373497997</v>
      </c>
      <c r="G203" s="25">
        <f>E203*Model!$E$40/12</f>
        <v>13514.394394510184</v>
      </c>
      <c r="H203" s="24">
        <f t="shared" si="4"/>
        <v>17765.205978987811</v>
      </c>
      <c r="I203" s="16">
        <f t="shared" si="5"/>
        <v>4036553.1123740668</v>
      </c>
      <c r="J203" s="127"/>
    </row>
    <row r="204" spans="2:10" x14ac:dyDescent="0.25">
      <c r="B204" s="6"/>
      <c r="C204" s="13"/>
      <c r="D204" s="82">
        <v>192</v>
      </c>
      <c r="E204" s="24">
        <f>I203+IF(Model!$E$32="Yes",(Model!$E$31=AmortSched!C204)*Model!$E$30*Model!$E$33,0)</f>
        <v>4036553.1123740668</v>
      </c>
      <c r="F204" s="24">
        <f>-PMT(Model!$E$40/12,(Model!$E$41*12)-(D204-1),E204)</f>
        <v>31279.600373497997</v>
      </c>
      <c r="G204" s="25">
        <f>E204*Model!$E$40/12</f>
        <v>13455.17704124689</v>
      </c>
      <c r="H204" s="24">
        <f t="shared" si="4"/>
        <v>17824.423332251106</v>
      </c>
      <c r="I204" s="16">
        <f t="shared" si="5"/>
        <v>4018728.6890418157</v>
      </c>
      <c r="J204" s="127"/>
    </row>
    <row r="205" spans="2:10" x14ac:dyDescent="0.25">
      <c r="B205" s="6"/>
      <c r="C205" s="13"/>
      <c r="D205" s="82">
        <v>193</v>
      </c>
      <c r="E205" s="24">
        <f>I204+IF(Model!$E$32="Yes",(Model!$E$31=AmortSched!C205)*Model!$E$30*Model!$E$33,0)</f>
        <v>4018728.6890418157</v>
      </c>
      <c r="F205" s="24">
        <f>-PMT(Model!$E$40/12,(Model!$E$41*12)-(D205-1),E205)</f>
        <v>31279.600373497997</v>
      </c>
      <c r="G205" s="25">
        <f>E205*Model!$E$40/12</f>
        <v>13395.762296806053</v>
      </c>
      <c r="H205" s="24">
        <f t="shared" si="4"/>
        <v>17883.838076691944</v>
      </c>
      <c r="I205" s="16">
        <f t="shared" si="5"/>
        <v>4000844.8509651236</v>
      </c>
      <c r="J205" s="127"/>
    </row>
    <row r="206" spans="2:10" x14ac:dyDescent="0.25">
      <c r="B206" s="6"/>
      <c r="C206" s="13"/>
      <c r="D206" s="82">
        <v>194</v>
      </c>
      <c r="E206" s="24">
        <f>I205+IF(Model!$E$32="Yes",(Model!$E$31=AmortSched!C206)*Model!$E$30*Model!$E$33,0)</f>
        <v>4000844.8509651236</v>
      </c>
      <c r="F206" s="24">
        <f>-PMT(Model!$E$40/12,(Model!$E$41*12)-(D206-1),E206)</f>
        <v>31279.600373497993</v>
      </c>
      <c r="G206" s="25">
        <f>E206*Model!$E$40/12</f>
        <v>13336.149503217079</v>
      </c>
      <c r="H206" s="24">
        <f t="shared" si="4"/>
        <v>17943.450870280914</v>
      </c>
      <c r="I206" s="16">
        <f t="shared" si="5"/>
        <v>3982901.4000948425</v>
      </c>
      <c r="J206" s="127"/>
    </row>
    <row r="207" spans="2:10" x14ac:dyDescent="0.25">
      <c r="B207" s="6"/>
      <c r="C207" s="13"/>
      <c r="D207" s="82">
        <v>195</v>
      </c>
      <c r="E207" s="24">
        <f>I206+IF(Model!$E$32="Yes",(Model!$E$31=AmortSched!C207)*Model!$E$30*Model!$E$33,0)</f>
        <v>3982901.4000948425</v>
      </c>
      <c r="F207" s="24">
        <f>-PMT(Model!$E$40/12,(Model!$E$41*12)-(D207-1),E207)</f>
        <v>31279.600373497993</v>
      </c>
      <c r="G207" s="25">
        <f>E207*Model!$E$40/12</f>
        <v>13276.338000316142</v>
      </c>
      <c r="H207" s="24">
        <f t="shared" ref="H207:H270" si="6">F207-G207</f>
        <v>18003.262373181853</v>
      </c>
      <c r="I207" s="16">
        <f t="shared" ref="I207:I270" si="7">E207-H207</f>
        <v>3964898.1377216605</v>
      </c>
      <c r="J207" s="127"/>
    </row>
    <row r="208" spans="2:10" x14ac:dyDescent="0.25">
      <c r="B208" s="6"/>
      <c r="C208" s="13"/>
      <c r="D208" s="82">
        <v>196</v>
      </c>
      <c r="E208" s="24">
        <f>I207+IF(Model!$E$32="Yes",(Model!$E$31=AmortSched!C208)*Model!$E$30*Model!$E$33,0)</f>
        <v>3964898.1377216605</v>
      </c>
      <c r="F208" s="24">
        <f>-PMT(Model!$E$40/12,(Model!$E$41*12)-(D208-1),E208)</f>
        <v>31279.600373497993</v>
      </c>
      <c r="G208" s="25">
        <f>E208*Model!$E$40/12</f>
        <v>13216.32712573887</v>
      </c>
      <c r="H208" s="24">
        <f t="shared" si="6"/>
        <v>18063.273247759123</v>
      </c>
      <c r="I208" s="16">
        <f t="shared" si="7"/>
        <v>3946834.8644739012</v>
      </c>
      <c r="J208" s="127"/>
    </row>
    <row r="209" spans="2:10" x14ac:dyDescent="0.25">
      <c r="B209" s="6"/>
      <c r="C209" s="13"/>
      <c r="D209" s="82">
        <v>197</v>
      </c>
      <c r="E209" s="24">
        <f>I208+IF(Model!$E$32="Yes",(Model!$E$31=AmortSched!C209)*Model!$E$30*Model!$E$33,0)</f>
        <v>3946834.8644739012</v>
      </c>
      <c r="F209" s="24">
        <f>-PMT(Model!$E$40/12,(Model!$E$41*12)-(D209-1),E209)</f>
        <v>31279.600373497993</v>
      </c>
      <c r="G209" s="25">
        <f>E209*Model!$E$40/12</f>
        <v>13156.116214913003</v>
      </c>
      <c r="H209" s="24">
        <f t="shared" si="6"/>
        <v>18123.48415858499</v>
      </c>
      <c r="I209" s="16">
        <f t="shared" si="7"/>
        <v>3928711.3803153164</v>
      </c>
      <c r="J209" s="127"/>
    </row>
    <row r="210" spans="2:10" x14ac:dyDescent="0.25">
      <c r="B210" s="6"/>
      <c r="C210" s="13"/>
      <c r="D210" s="82">
        <v>198</v>
      </c>
      <c r="E210" s="24">
        <f>I209+IF(Model!$E$32="Yes",(Model!$E$31=AmortSched!C210)*Model!$E$30*Model!$E$33,0)</f>
        <v>3928711.3803153164</v>
      </c>
      <c r="F210" s="24">
        <f>-PMT(Model!$E$40/12,(Model!$E$41*12)-(D210-1),E210)</f>
        <v>31279.600373497993</v>
      </c>
      <c r="G210" s="25">
        <f>E210*Model!$E$40/12</f>
        <v>13095.704601051055</v>
      </c>
      <c r="H210" s="24">
        <f t="shared" si="6"/>
        <v>18183.895772446936</v>
      </c>
      <c r="I210" s="16">
        <f t="shared" si="7"/>
        <v>3910527.4845428695</v>
      </c>
      <c r="J210" s="127"/>
    </row>
    <row r="211" spans="2:10" x14ac:dyDescent="0.25">
      <c r="B211" s="6"/>
      <c r="C211" s="13"/>
      <c r="D211" s="82">
        <v>199</v>
      </c>
      <c r="E211" s="24">
        <f>I210+IF(Model!$E$32="Yes",(Model!$E$31=AmortSched!C211)*Model!$E$30*Model!$E$33,0)</f>
        <v>3910527.4845428695</v>
      </c>
      <c r="F211" s="24">
        <f>-PMT(Model!$E$40/12,(Model!$E$41*12)-(D211-1),E211)</f>
        <v>31279.600373497993</v>
      </c>
      <c r="G211" s="25">
        <f>E211*Model!$E$40/12</f>
        <v>13035.091615142899</v>
      </c>
      <c r="H211" s="24">
        <f t="shared" si="6"/>
        <v>18244.508758355092</v>
      </c>
      <c r="I211" s="16">
        <f t="shared" si="7"/>
        <v>3892282.9757845146</v>
      </c>
      <c r="J211" s="127"/>
    </row>
    <row r="212" spans="2:10" x14ac:dyDescent="0.25">
      <c r="B212" s="6"/>
      <c r="C212" s="13"/>
      <c r="D212" s="82">
        <v>200</v>
      </c>
      <c r="E212" s="24">
        <f>I211+IF(Model!$E$32="Yes",(Model!$E$31=AmortSched!C212)*Model!$E$30*Model!$E$33,0)</f>
        <v>3892282.9757845146</v>
      </c>
      <c r="F212" s="24">
        <f>-PMT(Model!$E$40/12,(Model!$E$41*12)-(D212-1),E212)</f>
        <v>31279.600373497986</v>
      </c>
      <c r="G212" s="25">
        <f>E212*Model!$E$40/12</f>
        <v>12974.276585948382</v>
      </c>
      <c r="H212" s="24">
        <f t="shared" si="6"/>
        <v>18305.323787549605</v>
      </c>
      <c r="I212" s="16">
        <f t="shared" si="7"/>
        <v>3873977.6519969651</v>
      </c>
      <c r="J212" s="127"/>
    </row>
    <row r="213" spans="2:10" x14ac:dyDescent="0.25">
      <c r="B213" s="6"/>
      <c r="C213" s="13"/>
      <c r="D213" s="82">
        <v>201</v>
      </c>
      <c r="E213" s="24">
        <f>I212+IF(Model!$E$32="Yes",(Model!$E$31=AmortSched!C213)*Model!$E$30*Model!$E$33,0)</f>
        <v>3873977.6519969651</v>
      </c>
      <c r="F213" s="24">
        <f>-PMT(Model!$E$40/12,(Model!$E$41*12)-(D213-1),E213)</f>
        <v>31279.600373497997</v>
      </c>
      <c r="G213" s="25">
        <f>E213*Model!$E$40/12</f>
        <v>12913.258839989883</v>
      </c>
      <c r="H213" s="24">
        <f t="shared" si="6"/>
        <v>18366.341533508115</v>
      </c>
      <c r="I213" s="16">
        <f t="shared" si="7"/>
        <v>3855611.3104634569</v>
      </c>
      <c r="J213" s="127"/>
    </row>
    <row r="214" spans="2:10" x14ac:dyDescent="0.25">
      <c r="B214" s="6"/>
      <c r="C214" s="13"/>
      <c r="D214" s="82">
        <v>202</v>
      </c>
      <c r="E214" s="24">
        <f>I213+IF(Model!$E$32="Yes",(Model!$E$31=AmortSched!C214)*Model!$E$30*Model!$E$33,0)</f>
        <v>3855611.3104634569</v>
      </c>
      <c r="F214" s="24">
        <f>-PMT(Model!$E$40/12,(Model!$E$41*12)-(D214-1),E214)</f>
        <v>31279.600373497993</v>
      </c>
      <c r="G214" s="25">
        <f>E214*Model!$E$40/12</f>
        <v>12852.037701544856</v>
      </c>
      <c r="H214" s="24">
        <f t="shared" si="6"/>
        <v>18427.562671953136</v>
      </c>
      <c r="I214" s="16">
        <f t="shared" si="7"/>
        <v>3837183.7477915036</v>
      </c>
      <c r="J214" s="127"/>
    </row>
    <row r="215" spans="2:10" x14ac:dyDescent="0.25">
      <c r="B215" s="6"/>
      <c r="C215" s="13"/>
      <c r="D215" s="82">
        <v>203</v>
      </c>
      <c r="E215" s="24">
        <f>I214+IF(Model!$E$32="Yes",(Model!$E$31=AmortSched!C215)*Model!$E$30*Model!$E$33,0)</f>
        <v>3837183.7477915036</v>
      </c>
      <c r="F215" s="24">
        <f>-PMT(Model!$E$40/12,(Model!$E$41*12)-(D215-1),E215)</f>
        <v>31279.600373497986</v>
      </c>
      <c r="G215" s="25">
        <f>E215*Model!$E$40/12</f>
        <v>12790.612492638347</v>
      </c>
      <c r="H215" s="24">
        <f t="shared" si="6"/>
        <v>18488.98788085964</v>
      </c>
      <c r="I215" s="16">
        <f t="shared" si="7"/>
        <v>3818694.759910644</v>
      </c>
      <c r="J215" s="127"/>
    </row>
    <row r="216" spans="2:10" x14ac:dyDescent="0.25">
      <c r="B216" s="6"/>
      <c r="C216" s="13"/>
      <c r="D216" s="82">
        <v>204</v>
      </c>
      <c r="E216" s="24">
        <f>I215+IF(Model!$E$32="Yes",(Model!$E$31=AmortSched!C216)*Model!$E$30*Model!$E$33,0)</f>
        <v>3818694.759910644</v>
      </c>
      <c r="F216" s="24">
        <f>-PMT(Model!$E$40/12,(Model!$E$41*12)-(D216-1),E216)</f>
        <v>31279.600373497997</v>
      </c>
      <c r="G216" s="25">
        <f>E216*Model!$E$40/12</f>
        <v>12728.98253303548</v>
      </c>
      <c r="H216" s="24">
        <f t="shared" si="6"/>
        <v>18550.617840462517</v>
      </c>
      <c r="I216" s="16">
        <f t="shared" si="7"/>
        <v>3800144.1420701817</v>
      </c>
      <c r="J216" s="127"/>
    </row>
    <row r="217" spans="2:10" x14ac:dyDescent="0.25">
      <c r="B217" s="6"/>
      <c r="C217" s="13"/>
      <c r="D217" s="82">
        <v>205</v>
      </c>
      <c r="E217" s="24">
        <f>I216+IF(Model!$E$32="Yes",(Model!$E$31=AmortSched!C217)*Model!$E$30*Model!$E$33,0)</f>
        <v>3800144.1420701817</v>
      </c>
      <c r="F217" s="24">
        <f>-PMT(Model!$E$40/12,(Model!$E$41*12)-(D217-1),E217)</f>
        <v>31279.600373497997</v>
      </c>
      <c r="G217" s="25">
        <f>E217*Model!$E$40/12</f>
        <v>12667.147140233939</v>
      </c>
      <c r="H217" s="24">
        <f t="shared" si="6"/>
        <v>18612.453233264059</v>
      </c>
      <c r="I217" s="16">
        <f t="shared" si="7"/>
        <v>3781531.6888369177</v>
      </c>
      <c r="J217" s="127"/>
    </row>
    <row r="218" spans="2:10" x14ac:dyDescent="0.25">
      <c r="B218" s="6"/>
      <c r="C218" s="13"/>
      <c r="D218" s="82">
        <v>206</v>
      </c>
      <c r="E218" s="24">
        <f>I217+IF(Model!$E$32="Yes",(Model!$E$31=AmortSched!C218)*Model!$E$30*Model!$E$33,0)</f>
        <v>3781531.6888369177</v>
      </c>
      <c r="F218" s="24">
        <f>-PMT(Model!$E$40/12,(Model!$E$41*12)-(D218-1),E218)</f>
        <v>31279.600373497997</v>
      </c>
      <c r="G218" s="25">
        <f>E218*Model!$E$40/12</f>
        <v>12605.105629456391</v>
      </c>
      <c r="H218" s="24">
        <f t="shared" si="6"/>
        <v>18674.494744041607</v>
      </c>
      <c r="I218" s="16">
        <f t="shared" si="7"/>
        <v>3762857.1940928763</v>
      </c>
      <c r="J218" s="127"/>
    </row>
    <row r="219" spans="2:10" x14ac:dyDescent="0.25">
      <c r="B219" s="6"/>
      <c r="C219" s="13"/>
      <c r="D219" s="82">
        <v>207</v>
      </c>
      <c r="E219" s="24">
        <f>I218+IF(Model!$E$32="Yes",(Model!$E$31=AmortSched!C219)*Model!$E$30*Model!$E$33,0)</f>
        <v>3762857.1940928763</v>
      </c>
      <c r="F219" s="24">
        <f>-PMT(Model!$E$40/12,(Model!$E$41*12)-(D219-1),E219)</f>
        <v>31279.600373497993</v>
      </c>
      <c r="G219" s="25">
        <f>E219*Model!$E$40/12</f>
        <v>12542.85731364292</v>
      </c>
      <c r="H219" s="24">
        <f t="shared" si="6"/>
        <v>18736.743059855071</v>
      </c>
      <c r="I219" s="16">
        <f t="shared" si="7"/>
        <v>3744120.4510330213</v>
      </c>
      <c r="J219" s="127"/>
    </row>
    <row r="220" spans="2:10" x14ac:dyDescent="0.25">
      <c r="B220" s="6"/>
      <c r="C220" s="13"/>
      <c r="D220" s="82">
        <v>208</v>
      </c>
      <c r="E220" s="24">
        <f>I219+IF(Model!$E$32="Yes",(Model!$E$31=AmortSched!C220)*Model!$E$30*Model!$E$33,0)</f>
        <v>3744120.4510330213</v>
      </c>
      <c r="F220" s="24">
        <f>-PMT(Model!$E$40/12,(Model!$E$41*12)-(D220-1),E220)</f>
        <v>31279.600373497997</v>
      </c>
      <c r="G220" s="25">
        <f>E220*Model!$E$40/12</f>
        <v>12480.401503443405</v>
      </c>
      <c r="H220" s="24">
        <f t="shared" si="6"/>
        <v>18799.198870054592</v>
      </c>
      <c r="I220" s="16">
        <f t="shared" si="7"/>
        <v>3725321.2521629669</v>
      </c>
      <c r="J220" s="127"/>
    </row>
    <row r="221" spans="2:10" x14ac:dyDescent="0.25">
      <c r="B221" s="6"/>
      <c r="C221" s="13"/>
      <c r="D221" s="82">
        <v>209</v>
      </c>
      <c r="E221" s="24">
        <f>I220+IF(Model!$E$32="Yes",(Model!$E$31=AmortSched!C221)*Model!$E$30*Model!$E$33,0)</f>
        <v>3725321.2521629669</v>
      </c>
      <c r="F221" s="24">
        <f>-PMT(Model!$E$40/12,(Model!$E$41*12)-(D221-1),E221)</f>
        <v>31279.600373497997</v>
      </c>
      <c r="G221" s="25">
        <f>E221*Model!$E$40/12</f>
        <v>12417.737507209889</v>
      </c>
      <c r="H221" s="24">
        <f t="shared" si="6"/>
        <v>18861.862866288109</v>
      </c>
      <c r="I221" s="16">
        <f t="shared" si="7"/>
        <v>3706459.3892966788</v>
      </c>
      <c r="J221" s="127"/>
    </row>
    <row r="222" spans="2:10" x14ac:dyDescent="0.25">
      <c r="B222" s="6"/>
      <c r="C222" s="13"/>
      <c r="D222" s="82">
        <v>210</v>
      </c>
      <c r="E222" s="24">
        <f>I221+IF(Model!$E$32="Yes",(Model!$E$31=AmortSched!C222)*Model!$E$30*Model!$E$33,0)</f>
        <v>3706459.3892966788</v>
      </c>
      <c r="F222" s="24">
        <f>-PMT(Model!$E$40/12,(Model!$E$41*12)-(D222-1),E222)</f>
        <v>31279.600373498004</v>
      </c>
      <c r="G222" s="25">
        <f>E222*Model!$E$40/12</f>
        <v>12354.86463098893</v>
      </c>
      <c r="H222" s="24">
        <f t="shared" si="6"/>
        <v>18924.735742509074</v>
      </c>
      <c r="I222" s="16">
        <f t="shared" si="7"/>
        <v>3687534.6535541699</v>
      </c>
      <c r="J222" s="127"/>
    </row>
    <row r="223" spans="2:10" x14ac:dyDescent="0.25">
      <c r="B223" s="6"/>
      <c r="C223" s="13"/>
      <c r="D223" s="82">
        <v>211</v>
      </c>
      <c r="E223" s="24">
        <f>I222+IF(Model!$E$32="Yes",(Model!$E$31=AmortSched!C223)*Model!$E$30*Model!$E$33,0)</f>
        <v>3687534.6535541699</v>
      </c>
      <c r="F223" s="24">
        <f>-PMT(Model!$E$40/12,(Model!$E$41*12)-(D223-1),E223)</f>
        <v>31279.600373498004</v>
      </c>
      <c r="G223" s="25">
        <f>E223*Model!$E$40/12</f>
        <v>12291.7821785139</v>
      </c>
      <c r="H223" s="24">
        <f t="shared" si="6"/>
        <v>18987.818194984102</v>
      </c>
      <c r="I223" s="16">
        <f t="shared" si="7"/>
        <v>3668546.8353591859</v>
      </c>
      <c r="J223" s="127"/>
    </row>
    <row r="224" spans="2:10" x14ac:dyDescent="0.25">
      <c r="B224" s="6"/>
      <c r="C224" s="13"/>
      <c r="D224" s="82">
        <v>212</v>
      </c>
      <c r="E224" s="24">
        <f>I223+IF(Model!$E$32="Yes",(Model!$E$31=AmortSched!C224)*Model!$E$30*Model!$E$33,0)</f>
        <v>3668546.8353591859</v>
      </c>
      <c r="F224" s="24">
        <f>-PMT(Model!$E$40/12,(Model!$E$41*12)-(D224-1),E224)</f>
        <v>31279.600373497997</v>
      </c>
      <c r="G224" s="25">
        <f>E224*Model!$E$40/12</f>
        <v>12228.489451197287</v>
      </c>
      <c r="H224" s="24">
        <f t="shared" si="6"/>
        <v>19051.110922300708</v>
      </c>
      <c r="I224" s="16">
        <f t="shared" si="7"/>
        <v>3649495.7244368852</v>
      </c>
      <c r="J224" s="127"/>
    </row>
    <row r="225" spans="2:10" x14ac:dyDescent="0.25">
      <c r="B225" s="6"/>
      <c r="C225" s="13"/>
      <c r="D225" s="82">
        <v>213</v>
      </c>
      <c r="E225" s="24">
        <f>I224+IF(Model!$E$32="Yes",(Model!$E$31=AmortSched!C225)*Model!$E$30*Model!$E$33,0)</f>
        <v>3649495.7244368852</v>
      </c>
      <c r="F225" s="24">
        <f>-PMT(Model!$E$40/12,(Model!$E$41*12)-(D225-1),E225)</f>
        <v>31279.600373498004</v>
      </c>
      <c r="G225" s="25">
        <f>E225*Model!$E$40/12</f>
        <v>12164.98574812295</v>
      </c>
      <c r="H225" s="24">
        <f t="shared" si="6"/>
        <v>19114.614625375056</v>
      </c>
      <c r="I225" s="16">
        <f t="shared" si="7"/>
        <v>3630381.10981151</v>
      </c>
      <c r="J225" s="127"/>
    </row>
    <row r="226" spans="2:10" x14ac:dyDescent="0.25">
      <c r="B226" s="6"/>
      <c r="C226" s="13"/>
      <c r="D226" s="82">
        <v>214</v>
      </c>
      <c r="E226" s="24">
        <f>I225+IF(Model!$E$32="Yes",(Model!$E$31=AmortSched!C226)*Model!$E$30*Model!$E$33,0)</f>
        <v>3630381.10981151</v>
      </c>
      <c r="F226" s="24">
        <f>-PMT(Model!$E$40/12,(Model!$E$41*12)-(D226-1),E226)</f>
        <v>31279.600373497997</v>
      </c>
      <c r="G226" s="25">
        <f>E226*Model!$E$40/12</f>
        <v>12101.270366038369</v>
      </c>
      <c r="H226" s="24">
        <f t="shared" si="6"/>
        <v>19178.330007459626</v>
      </c>
      <c r="I226" s="16">
        <f t="shared" si="7"/>
        <v>3611202.7798040505</v>
      </c>
      <c r="J226" s="127"/>
    </row>
    <row r="227" spans="2:10" x14ac:dyDescent="0.25">
      <c r="B227" s="6"/>
      <c r="C227" s="13"/>
      <c r="D227" s="82">
        <v>215</v>
      </c>
      <c r="E227" s="24">
        <f>I226+IF(Model!$E$32="Yes",(Model!$E$31=AmortSched!C227)*Model!$E$30*Model!$E$33,0)</f>
        <v>3611202.7798040505</v>
      </c>
      <c r="F227" s="24">
        <f>-PMT(Model!$E$40/12,(Model!$E$41*12)-(D227-1),E227)</f>
        <v>31279.600373498004</v>
      </c>
      <c r="G227" s="25">
        <f>E227*Model!$E$40/12</f>
        <v>12037.342599346835</v>
      </c>
      <c r="H227" s="24">
        <f t="shared" si="6"/>
        <v>19242.25777415117</v>
      </c>
      <c r="I227" s="16">
        <f t="shared" si="7"/>
        <v>3591960.5220298991</v>
      </c>
      <c r="J227" s="127"/>
    </row>
    <row r="228" spans="2:10" x14ac:dyDescent="0.25">
      <c r="B228" s="6"/>
      <c r="C228" s="13"/>
      <c r="D228" s="82">
        <v>216</v>
      </c>
      <c r="E228" s="24">
        <f>I227+IF(Model!$E$32="Yes",(Model!$E$31=AmortSched!C228)*Model!$E$30*Model!$E$33,0)</f>
        <v>3591960.5220298991</v>
      </c>
      <c r="F228" s="24">
        <f>-PMT(Model!$E$40/12,(Model!$E$41*12)-(D228-1),E228)</f>
        <v>31279.600373497997</v>
      </c>
      <c r="G228" s="25">
        <f>E228*Model!$E$40/12</f>
        <v>11973.201740099663</v>
      </c>
      <c r="H228" s="24">
        <f t="shared" si="6"/>
        <v>19306.398633398334</v>
      </c>
      <c r="I228" s="16">
        <f t="shared" si="7"/>
        <v>3572654.1233965009</v>
      </c>
      <c r="J228" s="127"/>
    </row>
    <row r="229" spans="2:10" x14ac:dyDescent="0.25">
      <c r="B229" s="6"/>
      <c r="C229" s="13"/>
      <c r="D229" s="82">
        <v>217</v>
      </c>
      <c r="E229" s="24">
        <f>I228+IF(Model!$E$32="Yes",(Model!$E$31=AmortSched!C229)*Model!$E$30*Model!$E$33,0)</f>
        <v>3572654.1233965009</v>
      </c>
      <c r="F229" s="24">
        <f>-PMT(Model!$E$40/12,(Model!$E$41*12)-(D229-1),E229)</f>
        <v>31279.600373498004</v>
      </c>
      <c r="G229" s="25">
        <f>E229*Model!$E$40/12</f>
        <v>11908.847077988337</v>
      </c>
      <c r="H229" s="24">
        <f t="shared" si="6"/>
        <v>19370.753295509669</v>
      </c>
      <c r="I229" s="16">
        <f t="shared" si="7"/>
        <v>3553283.3701009913</v>
      </c>
      <c r="J229" s="127"/>
    </row>
    <row r="230" spans="2:10" x14ac:dyDescent="0.25">
      <c r="B230" s="6"/>
      <c r="C230" s="13"/>
      <c r="D230" s="82">
        <v>218</v>
      </c>
      <c r="E230" s="24">
        <f>I229+IF(Model!$E$32="Yes",(Model!$E$31=AmortSched!C230)*Model!$E$30*Model!$E$33,0)</f>
        <v>3553283.3701009913</v>
      </c>
      <c r="F230" s="24">
        <f>-PMT(Model!$E$40/12,(Model!$E$41*12)-(D230-1),E230)</f>
        <v>31279.600373497997</v>
      </c>
      <c r="G230" s="25">
        <f>E230*Model!$E$40/12</f>
        <v>11844.277900336638</v>
      </c>
      <c r="H230" s="24">
        <f t="shared" si="6"/>
        <v>19435.322473161359</v>
      </c>
      <c r="I230" s="16">
        <f t="shared" si="7"/>
        <v>3533848.0476278299</v>
      </c>
      <c r="J230" s="127"/>
    </row>
    <row r="231" spans="2:10" x14ac:dyDescent="0.25">
      <c r="B231" s="6"/>
      <c r="C231" s="13"/>
      <c r="D231" s="82">
        <v>219</v>
      </c>
      <c r="E231" s="24">
        <f>I230+IF(Model!$E$32="Yes",(Model!$E$31=AmortSched!C231)*Model!$E$30*Model!$E$33,0)</f>
        <v>3533848.0476278299</v>
      </c>
      <c r="F231" s="24">
        <f>-PMT(Model!$E$40/12,(Model!$E$41*12)-(D231-1),E231)</f>
        <v>31279.600373497997</v>
      </c>
      <c r="G231" s="25">
        <f>E231*Model!$E$40/12</f>
        <v>11779.493492092768</v>
      </c>
      <c r="H231" s="24">
        <f t="shared" si="6"/>
        <v>19500.106881405227</v>
      </c>
      <c r="I231" s="16">
        <f t="shared" si="7"/>
        <v>3514347.9407464247</v>
      </c>
      <c r="J231" s="127"/>
    </row>
    <row r="232" spans="2:10" x14ac:dyDescent="0.25">
      <c r="B232" s="6"/>
      <c r="C232" s="13"/>
      <c r="D232" s="82">
        <v>220</v>
      </c>
      <c r="E232" s="24">
        <f>I231+IF(Model!$E$32="Yes",(Model!$E$31=AmortSched!C232)*Model!$E$30*Model!$E$33,0)</f>
        <v>3514347.9407464247</v>
      </c>
      <c r="F232" s="24">
        <f>-PMT(Model!$E$40/12,(Model!$E$41*12)-(D232-1),E232)</f>
        <v>31279.600373498004</v>
      </c>
      <c r="G232" s="25">
        <f>E232*Model!$E$40/12</f>
        <v>11714.493135821416</v>
      </c>
      <c r="H232" s="24">
        <f t="shared" si="6"/>
        <v>19565.107237676588</v>
      </c>
      <c r="I232" s="16">
        <f t="shared" si="7"/>
        <v>3494782.8335087481</v>
      </c>
      <c r="J232" s="127"/>
    </row>
    <row r="233" spans="2:10" x14ac:dyDescent="0.25">
      <c r="B233" s="6"/>
      <c r="C233" s="13"/>
      <c r="D233" s="82">
        <v>221</v>
      </c>
      <c r="E233" s="24">
        <f>I232+IF(Model!$E$32="Yes",(Model!$E$31=AmortSched!C233)*Model!$E$30*Model!$E$33,0)</f>
        <v>3494782.8335087481</v>
      </c>
      <c r="F233" s="24">
        <f>-PMT(Model!$E$40/12,(Model!$E$41*12)-(D233-1),E233)</f>
        <v>31279.600373498004</v>
      </c>
      <c r="G233" s="25">
        <f>E233*Model!$E$40/12</f>
        <v>11649.276111695828</v>
      </c>
      <c r="H233" s="24">
        <f t="shared" si="6"/>
        <v>19630.324261802176</v>
      </c>
      <c r="I233" s="16">
        <f t="shared" si="7"/>
        <v>3475152.5092469458</v>
      </c>
      <c r="J233" s="127"/>
    </row>
    <row r="234" spans="2:10" x14ac:dyDescent="0.25">
      <c r="B234" s="6"/>
      <c r="C234" s="13"/>
      <c r="D234" s="82">
        <v>222</v>
      </c>
      <c r="E234" s="24">
        <f>I233+IF(Model!$E$32="Yes",(Model!$E$31=AmortSched!C234)*Model!$E$30*Model!$E$33,0)</f>
        <v>3475152.5092469458</v>
      </c>
      <c r="F234" s="24">
        <f>-PMT(Model!$E$40/12,(Model!$E$41*12)-(D234-1),E234)</f>
        <v>31279.600373497997</v>
      </c>
      <c r="G234" s="25">
        <f>E234*Model!$E$40/12</f>
        <v>11583.841697489819</v>
      </c>
      <c r="H234" s="24">
        <f t="shared" si="6"/>
        <v>19695.758676008176</v>
      </c>
      <c r="I234" s="16">
        <f t="shared" si="7"/>
        <v>3455456.7505709375</v>
      </c>
      <c r="J234" s="127"/>
    </row>
    <row r="235" spans="2:10" x14ac:dyDescent="0.25">
      <c r="B235" s="6"/>
      <c r="C235" s="13"/>
      <c r="D235" s="82">
        <v>223</v>
      </c>
      <c r="E235" s="24">
        <f>I234+IF(Model!$E$32="Yes",(Model!$E$31=AmortSched!C235)*Model!$E$30*Model!$E$33,0)</f>
        <v>3455456.7505709375</v>
      </c>
      <c r="F235" s="24">
        <f>-PMT(Model!$E$40/12,(Model!$E$41*12)-(D235-1),E235)</f>
        <v>31279.600373498004</v>
      </c>
      <c r="G235" s="25">
        <f>E235*Model!$E$40/12</f>
        <v>11518.189168569792</v>
      </c>
      <c r="H235" s="24">
        <f t="shared" si="6"/>
        <v>19761.411204928212</v>
      </c>
      <c r="I235" s="16">
        <f t="shared" si="7"/>
        <v>3435695.3393660095</v>
      </c>
      <c r="J235" s="127"/>
    </row>
    <row r="236" spans="2:10" x14ac:dyDescent="0.25">
      <c r="B236" s="6"/>
      <c r="C236" s="13"/>
      <c r="D236" s="82">
        <v>224</v>
      </c>
      <c r="E236" s="24">
        <f>I235+IF(Model!$E$32="Yes",(Model!$E$31=AmortSched!C236)*Model!$E$30*Model!$E$33,0)</f>
        <v>3435695.3393660095</v>
      </c>
      <c r="F236" s="24">
        <f>-PMT(Model!$E$40/12,(Model!$E$41*12)-(D236-1),E236)</f>
        <v>31279.600373498004</v>
      </c>
      <c r="G236" s="25">
        <f>E236*Model!$E$40/12</f>
        <v>11452.317797886697</v>
      </c>
      <c r="H236" s="24">
        <f t="shared" si="6"/>
        <v>19827.282575611309</v>
      </c>
      <c r="I236" s="16">
        <f t="shared" si="7"/>
        <v>3415868.056790398</v>
      </c>
      <c r="J236" s="127"/>
    </row>
    <row r="237" spans="2:10" x14ac:dyDescent="0.25">
      <c r="B237" s="6"/>
      <c r="C237" s="13"/>
      <c r="D237" s="82">
        <v>225</v>
      </c>
      <c r="E237" s="24">
        <f>I236+IF(Model!$E$32="Yes",(Model!$E$31=AmortSched!C237)*Model!$E$30*Model!$E$33,0)</f>
        <v>3415868.056790398</v>
      </c>
      <c r="F237" s="24">
        <f>-PMT(Model!$E$40/12,(Model!$E$41*12)-(D237-1),E237)</f>
        <v>31279.600373497997</v>
      </c>
      <c r="G237" s="25">
        <f>E237*Model!$E$40/12</f>
        <v>11386.226855967994</v>
      </c>
      <c r="H237" s="24">
        <f t="shared" si="6"/>
        <v>19893.373517530003</v>
      </c>
      <c r="I237" s="16">
        <f t="shared" si="7"/>
        <v>3395974.6832728679</v>
      </c>
      <c r="J237" s="127"/>
    </row>
    <row r="238" spans="2:10" x14ac:dyDescent="0.25">
      <c r="B238" s="6"/>
      <c r="C238" s="13"/>
      <c r="D238" s="82">
        <v>226</v>
      </c>
      <c r="E238" s="24">
        <f>I237+IF(Model!$E$32="Yes",(Model!$E$31=AmortSched!C238)*Model!$E$30*Model!$E$33,0)</f>
        <v>3395974.6832728679</v>
      </c>
      <c r="F238" s="24">
        <f>-PMT(Model!$E$40/12,(Model!$E$41*12)-(D238-1),E238)</f>
        <v>31279.600373497997</v>
      </c>
      <c r="G238" s="25">
        <f>E238*Model!$E$40/12</f>
        <v>11319.915610909558</v>
      </c>
      <c r="H238" s="24">
        <f t="shared" si="6"/>
        <v>19959.68476258844</v>
      </c>
      <c r="I238" s="16">
        <f t="shared" si="7"/>
        <v>3376014.9985102797</v>
      </c>
      <c r="J238" s="127"/>
    </row>
    <row r="239" spans="2:10" x14ac:dyDescent="0.25">
      <c r="B239" s="6"/>
      <c r="C239" s="13"/>
      <c r="D239" s="82">
        <v>227</v>
      </c>
      <c r="E239" s="24">
        <f>I238+IF(Model!$E$32="Yes",(Model!$E$31=AmortSched!C239)*Model!$E$30*Model!$E$33,0)</f>
        <v>3376014.9985102797</v>
      </c>
      <c r="F239" s="24">
        <f>-PMT(Model!$E$40/12,(Model!$E$41*12)-(D239-1),E239)</f>
        <v>31279.600373497997</v>
      </c>
      <c r="G239" s="25">
        <f>E239*Model!$E$40/12</f>
        <v>11253.383328367599</v>
      </c>
      <c r="H239" s="24">
        <f t="shared" si="6"/>
        <v>20026.217045130397</v>
      </c>
      <c r="I239" s="16">
        <f t="shared" si="7"/>
        <v>3355988.7814651495</v>
      </c>
      <c r="J239" s="127"/>
    </row>
    <row r="240" spans="2:10" x14ac:dyDescent="0.25">
      <c r="B240" s="6"/>
      <c r="C240" s="13"/>
      <c r="D240" s="82">
        <v>228</v>
      </c>
      <c r="E240" s="24">
        <f>I239+IF(Model!$E$32="Yes",(Model!$E$31=AmortSched!C240)*Model!$E$30*Model!$E$33,0)</f>
        <v>3355988.7814651495</v>
      </c>
      <c r="F240" s="24">
        <f>-PMT(Model!$E$40/12,(Model!$E$41*12)-(D240-1),E240)</f>
        <v>31279.600373498004</v>
      </c>
      <c r="G240" s="25">
        <f>E240*Model!$E$40/12</f>
        <v>11186.629271550499</v>
      </c>
      <c r="H240" s="24">
        <f t="shared" si="6"/>
        <v>20092.971101947507</v>
      </c>
      <c r="I240" s="16">
        <f t="shared" si="7"/>
        <v>3335895.8103632019</v>
      </c>
      <c r="J240" s="127"/>
    </row>
    <row r="241" spans="2:10" x14ac:dyDescent="0.25">
      <c r="B241" s="6"/>
      <c r="C241" s="13"/>
      <c r="D241" s="82">
        <v>229</v>
      </c>
      <c r="E241" s="24">
        <f>I240+IF(Model!$E$32="Yes",(Model!$E$31=AmortSched!C241)*Model!$E$30*Model!$E$33,0)</f>
        <v>3335895.8103632019</v>
      </c>
      <c r="F241" s="24">
        <f>-PMT(Model!$E$40/12,(Model!$E$41*12)-(D241-1),E241)</f>
        <v>31279.600373497997</v>
      </c>
      <c r="G241" s="25">
        <f>E241*Model!$E$40/12</f>
        <v>11119.652701210673</v>
      </c>
      <c r="H241" s="24">
        <f t="shared" si="6"/>
        <v>20159.947672287322</v>
      </c>
      <c r="I241" s="16">
        <f t="shared" si="7"/>
        <v>3315735.8626909144</v>
      </c>
      <c r="J241" s="127"/>
    </row>
    <row r="242" spans="2:10" x14ac:dyDescent="0.25">
      <c r="B242" s="6"/>
      <c r="C242" s="13"/>
      <c r="D242" s="82">
        <v>230</v>
      </c>
      <c r="E242" s="24">
        <f>I241+IF(Model!$E$32="Yes",(Model!$E$31=AmortSched!C242)*Model!$E$30*Model!$E$33,0)</f>
        <v>3315735.8626909144</v>
      </c>
      <c r="F242" s="24">
        <f>-PMT(Model!$E$40/12,(Model!$E$41*12)-(D242-1),E242)</f>
        <v>31279.600373498004</v>
      </c>
      <c r="G242" s="25">
        <f>E242*Model!$E$40/12</f>
        <v>11052.452875636382</v>
      </c>
      <c r="H242" s="24">
        <f t="shared" si="6"/>
        <v>20227.147497861624</v>
      </c>
      <c r="I242" s="16">
        <f t="shared" si="7"/>
        <v>3295508.7151930528</v>
      </c>
      <c r="J242" s="127"/>
    </row>
    <row r="243" spans="2:10" x14ac:dyDescent="0.25">
      <c r="B243" s="6"/>
      <c r="C243" s="13"/>
      <c r="D243" s="82">
        <v>231</v>
      </c>
      <c r="E243" s="24">
        <f>I242+IF(Model!$E$32="Yes",(Model!$E$31=AmortSched!C243)*Model!$E$30*Model!$E$33,0)</f>
        <v>3295508.7151930528</v>
      </c>
      <c r="F243" s="24">
        <f>-PMT(Model!$E$40/12,(Model!$E$41*12)-(D243-1),E243)</f>
        <v>31279.600373498004</v>
      </c>
      <c r="G243" s="25">
        <f>E243*Model!$E$40/12</f>
        <v>10985.02905064351</v>
      </c>
      <c r="H243" s="24">
        <f t="shared" si="6"/>
        <v>20294.571322854492</v>
      </c>
      <c r="I243" s="16">
        <f t="shared" si="7"/>
        <v>3275214.1438701982</v>
      </c>
      <c r="J243" s="127"/>
    </row>
    <row r="244" spans="2:10" x14ac:dyDescent="0.25">
      <c r="B244" s="6"/>
      <c r="C244" s="13"/>
      <c r="D244" s="82">
        <v>232</v>
      </c>
      <c r="E244" s="24">
        <f>I243+IF(Model!$E$32="Yes",(Model!$E$31=AmortSched!C244)*Model!$E$30*Model!$E$33,0)</f>
        <v>3275214.1438701982</v>
      </c>
      <c r="F244" s="24">
        <f>-PMT(Model!$E$40/12,(Model!$E$41*12)-(D244-1),E244)</f>
        <v>31279.600373497997</v>
      </c>
      <c r="G244" s="25">
        <f>E244*Model!$E$40/12</f>
        <v>10917.380479567328</v>
      </c>
      <c r="H244" s="24">
        <f t="shared" si="6"/>
        <v>20362.219893930669</v>
      </c>
      <c r="I244" s="16">
        <f t="shared" si="7"/>
        <v>3254851.9239762677</v>
      </c>
      <c r="J244" s="127"/>
    </row>
    <row r="245" spans="2:10" x14ac:dyDescent="0.25">
      <c r="B245" s="6"/>
      <c r="C245" s="13"/>
      <c r="D245" s="82">
        <v>233</v>
      </c>
      <c r="E245" s="24">
        <f>I244+IF(Model!$E$32="Yes",(Model!$E$31=AmortSched!C245)*Model!$E$30*Model!$E$33,0)</f>
        <v>3254851.9239762677</v>
      </c>
      <c r="F245" s="24">
        <f>-PMT(Model!$E$40/12,(Model!$E$41*12)-(D245-1),E245)</f>
        <v>31279.600373497997</v>
      </c>
      <c r="G245" s="25">
        <f>E245*Model!$E$40/12</f>
        <v>10849.506413254227</v>
      </c>
      <c r="H245" s="24">
        <f t="shared" si="6"/>
        <v>20430.093960243772</v>
      </c>
      <c r="I245" s="16">
        <f t="shared" si="7"/>
        <v>3234421.8300160239</v>
      </c>
      <c r="J245" s="127"/>
    </row>
    <row r="246" spans="2:10" x14ac:dyDescent="0.25">
      <c r="B246" s="6"/>
      <c r="C246" s="13"/>
      <c r="D246" s="82">
        <v>234</v>
      </c>
      <c r="E246" s="24">
        <f>I245+IF(Model!$E$32="Yes",(Model!$E$31=AmortSched!C246)*Model!$E$30*Model!$E$33,0)</f>
        <v>3234421.8300160239</v>
      </c>
      <c r="F246" s="24">
        <f>-PMT(Model!$E$40/12,(Model!$E$41*12)-(D246-1),E246)</f>
        <v>31279.600373497997</v>
      </c>
      <c r="G246" s="25">
        <f>E246*Model!$E$40/12</f>
        <v>10781.406100053413</v>
      </c>
      <c r="H246" s="24">
        <f t="shared" si="6"/>
        <v>20498.194273444584</v>
      </c>
      <c r="I246" s="16">
        <f t="shared" si="7"/>
        <v>3213923.6357425796</v>
      </c>
      <c r="J246" s="127"/>
    </row>
    <row r="247" spans="2:10" x14ac:dyDescent="0.25">
      <c r="B247" s="6"/>
      <c r="C247" s="13"/>
      <c r="D247" s="82">
        <v>235</v>
      </c>
      <c r="E247" s="24">
        <f>I246+IF(Model!$E$32="Yes",(Model!$E$31=AmortSched!C247)*Model!$E$30*Model!$E$33,0)</f>
        <v>3213923.6357425796</v>
      </c>
      <c r="F247" s="24">
        <f>-PMT(Model!$E$40/12,(Model!$E$41*12)-(D247-1),E247)</f>
        <v>31279.600373498004</v>
      </c>
      <c r="G247" s="25">
        <f>E247*Model!$E$40/12</f>
        <v>10713.078785808599</v>
      </c>
      <c r="H247" s="24">
        <f t="shared" si="6"/>
        <v>20566.521587689407</v>
      </c>
      <c r="I247" s="16">
        <f t="shared" si="7"/>
        <v>3193357.1141548902</v>
      </c>
      <c r="J247" s="127"/>
    </row>
    <row r="248" spans="2:10" x14ac:dyDescent="0.25">
      <c r="B248" s="6"/>
      <c r="C248" s="13"/>
      <c r="D248" s="82">
        <v>236</v>
      </c>
      <c r="E248" s="24">
        <f>I247+IF(Model!$E$32="Yes",(Model!$E$31=AmortSched!C248)*Model!$E$30*Model!$E$33,0)</f>
        <v>3193357.1141548902</v>
      </c>
      <c r="F248" s="24">
        <f>-PMT(Model!$E$40/12,(Model!$E$41*12)-(D248-1),E248)</f>
        <v>31279.600373497997</v>
      </c>
      <c r="G248" s="25">
        <f>E248*Model!$E$40/12</f>
        <v>10644.523713849634</v>
      </c>
      <c r="H248" s="24">
        <f t="shared" si="6"/>
        <v>20635.076659648363</v>
      </c>
      <c r="I248" s="16">
        <f t="shared" si="7"/>
        <v>3172722.037495242</v>
      </c>
      <c r="J248" s="127"/>
    </row>
    <row r="249" spans="2:10" x14ac:dyDescent="0.25">
      <c r="B249" s="6"/>
      <c r="C249" s="13"/>
      <c r="D249" s="82">
        <v>237</v>
      </c>
      <c r="E249" s="24">
        <f>I248+IF(Model!$E$32="Yes",(Model!$E$31=AmortSched!C249)*Model!$E$30*Model!$E$33,0)</f>
        <v>3172722.037495242</v>
      </c>
      <c r="F249" s="24">
        <f>-PMT(Model!$E$40/12,(Model!$E$41*12)-(D249-1),E249)</f>
        <v>31279.600373498004</v>
      </c>
      <c r="G249" s="25">
        <f>E249*Model!$E$40/12</f>
        <v>10575.74012498414</v>
      </c>
      <c r="H249" s="24">
        <f t="shared" si="6"/>
        <v>20703.860248513862</v>
      </c>
      <c r="I249" s="16">
        <f t="shared" si="7"/>
        <v>3152018.177246728</v>
      </c>
      <c r="J249" s="127"/>
    </row>
    <row r="250" spans="2:10" x14ac:dyDescent="0.25">
      <c r="B250" s="6"/>
      <c r="C250" s="13"/>
      <c r="D250" s="82">
        <v>238</v>
      </c>
      <c r="E250" s="24">
        <f>I249+IF(Model!$E$32="Yes",(Model!$E$31=AmortSched!C250)*Model!$E$30*Model!$E$33,0)</f>
        <v>3152018.177246728</v>
      </c>
      <c r="F250" s="24">
        <f>-PMT(Model!$E$40/12,(Model!$E$41*12)-(D250-1),E250)</f>
        <v>31279.600373498004</v>
      </c>
      <c r="G250" s="25">
        <f>E250*Model!$E$40/12</f>
        <v>10506.727257489094</v>
      </c>
      <c r="H250" s="24">
        <f t="shared" si="6"/>
        <v>20772.873116008908</v>
      </c>
      <c r="I250" s="16">
        <f t="shared" si="7"/>
        <v>3131245.304130719</v>
      </c>
      <c r="J250" s="127"/>
    </row>
    <row r="251" spans="2:10" x14ac:dyDescent="0.25">
      <c r="B251" s="6"/>
      <c r="C251" s="13"/>
      <c r="D251" s="82">
        <v>239</v>
      </c>
      <c r="E251" s="24">
        <f>I250+IF(Model!$E$32="Yes",(Model!$E$31=AmortSched!C251)*Model!$E$30*Model!$E$33,0)</f>
        <v>3131245.304130719</v>
      </c>
      <c r="F251" s="24">
        <f>-PMT(Model!$E$40/12,(Model!$E$41*12)-(D251-1),E251)</f>
        <v>31279.600373498004</v>
      </c>
      <c r="G251" s="25">
        <f>E251*Model!$E$40/12</f>
        <v>10437.484347102398</v>
      </c>
      <c r="H251" s="24">
        <f t="shared" si="6"/>
        <v>20842.116026395604</v>
      </c>
      <c r="I251" s="16">
        <f t="shared" si="7"/>
        <v>3110403.1881043236</v>
      </c>
      <c r="J251" s="127"/>
    </row>
    <row r="252" spans="2:10" x14ac:dyDescent="0.25">
      <c r="B252" s="6"/>
      <c r="C252" s="13"/>
      <c r="D252" s="82">
        <v>240</v>
      </c>
      <c r="E252" s="24">
        <f>I251+IF(Model!$E$32="Yes",(Model!$E$31=AmortSched!C252)*Model!$E$30*Model!$E$33,0)</f>
        <v>3110403.1881043236</v>
      </c>
      <c r="F252" s="24">
        <f>-PMT(Model!$E$40/12,(Model!$E$41*12)-(D252-1),E252)</f>
        <v>31279.600373498004</v>
      </c>
      <c r="G252" s="25">
        <f>E252*Model!$E$40/12</f>
        <v>10368.010627014412</v>
      </c>
      <c r="H252" s="24">
        <f t="shared" si="6"/>
        <v>20911.589746483594</v>
      </c>
      <c r="I252" s="16">
        <f t="shared" si="7"/>
        <v>3089491.59835784</v>
      </c>
      <c r="J252" s="127"/>
    </row>
    <row r="253" spans="2:10" x14ac:dyDescent="0.25">
      <c r="B253" s="6"/>
      <c r="C253" s="13"/>
      <c r="D253" s="82">
        <v>241</v>
      </c>
      <c r="E253" s="24">
        <f>I252+IF(Model!$E$32="Yes",(Model!$E$31=AmortSched!C253)*Model!$E$30*Model!$E$33,0)</f>
        <v>3089491.59835784</v>
      </c>
      <c r="F253" s="24">
        <f>-PMT(Model!$E$40/12,(Model!$E$41*12)-(D253-1),E253)</f>
        <v>31279.600373498004</v>
      </c>
      <c r="G253" s="25">
        <f>E253*Model!$E$40/12</f>
        <v>10298.305327859467</v>
      </c>
      <c r="H253" s="24">
        <f t="shared" si="6"/>
        <v>20981.295045638537</v>
      </c>
      <c r="I253" s="16">
        <f t="shared" si="7"/>
        <v>3068510.3033122015</v>
      </c>
      <c r="J253" s="127"/>
    </row>
    <row r="254" spans="2:10" x14ac:dyDescent="0.25">
      <c r="B254" s="6"/>
      <c r="C254" s="13"/>
      <c r="D254" s="82">
        <v>242</v>
      </c>
      <c r="E254" s="24">
        <f>I253+IF(Model!$E$32="Yes",(Model!$E$31=AmortSched!C254)*Model!$E$30*Model!$E$33,0)</f>
        <v>3068510.3033122015</v>
      </c>
      <c r="F254" s="24">
        <f>-PMT(Model!$E$40/12,(Model!$E$41*12)-(D254-1),E254)</f>
        <v>31279.600373498004</v>
      </c>
      <c r="G254" s="25">
        <f>E254*Model!$E$40/12</f>
        <v>10228.36767770734</v>
      </c>
      <c r="H254" s="24">
        <f t="shared" si="6"/>
        <v>21051.232695790663</v>
      </c>
      <c r="I254" s="16">
        <f t="shared" si="7"/>
        <v>3047459.070616411</v>
      </c>
      <c r="J254" s="127"/>
    </row>
    <row r="255" spans="2:10" x14ac:dyDescent="0.25">
      <c r="B255" s="6"/>
      <c r="C255" s="13"/>
      <c r="D255" s="82">
        <v>243</v>
      </c>
      <c r="E255" s="24">
        <f>I254+IF(Model!$E$32="Yes",(Model!$E$31=AmortSched!C255)*Model!$E$30*Model!$E$33,0)</f>
        <v>3047459.070616411</v>
      </c>
      <c r="F255" s="24">
        <f>-PMT(Model!$E$40/12,(Model!$E$41*12)-(D255-1),E255)</f>
        <v>31279.600373498011</v>
      </c>
      <c r="G255" s="25">
        <f>E255*Model!$E$40/12</f>
        <v>10158.196902054704</v>
      </c>
      <c r="H255" s="24">
        <f t="shared" si="6"/>
        <v>21121.403471443307</v>
      </c>
      <c r="I255" s="16">
        <f t="shared" si="7"/>
        <v>3026337.6671449677</v>
      </c>
      <c r="J255" s="127"/>
    </row>
    <row r="256" spans="2:10" x14ac:dyDescent="0.25">
      <c r="B256" s="6"/>
      <c r="C256" s="13"/>
      <c r="D256" s="82">
        <v>244</v>
      </c>
      <c r="E256" s="24">
        <f>I255+IF(Model!$E$32="Yes",(Model!$E$31=AmortSched!C256)*Model!$E$30*Model!$E$33,0)</f>
        <v>3026337.6671449677</v>
      </c>
      <c r="F256" s="24">
        <f>-PMT(Model!$E$40/12,(Model!$E$41*12)-(D256-1),E256)</f>
        <v>31279.600373498011</v>
      </c>
      <c r="G256" s="25">
        <f>E256*Model!$E$40/12</f>
        <v>10087.792223816559</v>
      </c>
      <c r="H256" s="24">
        <f t="shared" si="6"/>
        <v>21191.808149681452</v>
      </c>
      <c r="I256" s="16">
        <f t="shared" si="7"/>
        <v>3005145.8589952863</v>
      </c>
      <c r="J256" s="127"/>
    </row>
    <row r="257" spans="2:10" x14ac:dyDescent="0.25">
      <c r="B257" s="6"/>
      <c r="C257" s="13"/>
      <c r="D257" s="82">
        <v>245</v>
      </c>
      <c r="E257" s="24">
        <f>I256+IF(Model!$E$32="Yes",(Model!$E$31=AmortSched!C257)*Model!$E$30*Model!$E$33,0)</f>
        <v>3005145.8589952863</v>
      </c>
      <c r="F257" s="24">
        <f>-PMT(Model!$E$40/12,(Model!$E$41*12)-(D257-1),E257)</f>
        <v>31279.600373498011</v>
      </c>
      <c r="G257" s="25">
        <f>E257*Model!$E$40/12</f>
        <v>10017.152863317622</v>
      </c>
      <c r="H257" s="24">
        <f t="shared" si="6"/>
        <v>21262.447510180391</v>
      </c>
      <c r="I257" s="16">
        <f t="shared" si="7"/>
        <v>2983883.4114851058</v>
      </c>
      <c r="J257" s="127"/>
    </row>
    <row r="258" spans="2:10" x14ac:dyDescent="0.25">
      <c r="B258" s="6"/>
      <c r="C258" s="13"/>
      <c r="D258" s="82">
        <v>246</v>
      </c>
      <c r="E258" s="24">
        <f>I257+IF(Model!$E$32="Yes",(Model!$E$31=AmortSched!C258)*Model!$E$30*Model!$E$33,0)</f>
        <v>2983883.4114851058</v>
      </c>
      <c r="F258" s="24">
        <f>-PMT(Model!$E$40/12,(Model!$E$41*12)-(D258-1),E258)</f>
        <v>31279.600373498004</v>
      </c>
      <c r="G258" s="25">
        <f>E258*Model!$E$40/12</f>
        <v>9946.2780382836863</v>
      </c>
      <c r="H258" s="24">
        <f t="shared" si="6"/>
        <v>21333.322335214318</v>
      </c>
      <c r="I258" s="16">
        <f t="shared" si="7"/>
        <v>2962550.0891498914</v>
      </c>
      <c r="J258" s="127"/>
    </row>
    <row r="259" spans="2:10" x14ac:dyDescent="0.25">
      <c r="B259" s="6"/>
      <c r="C259" s="13"/>
      <c r="D259" s="82">
        <v>247</v>
      </c>
      <c r="E259" s="24">
        <f>I258+IF(Model!$E$32="Yes",(Model!$E$31=AmortSched!C259)*Model!$E$30*Model!$E$33,0)</f>
        <v>2962550.0891498914</v>
      </c>
      <c r="F259" s="24">
        <f>-PMT(Model!$E$40/12,(Model!$E$41*12)-(D259-1),E259)</f>
        <v>31279.600373498004</v>
      </c>
      <c r="G259" s="25">
        <f>E259*Model!$E$40/12</f>
        <v>9875.1669638329713</v>
      </c>
      <c r="H259" s="24">
        <f t="shared" si="6"/>
        <v>21404.433409665035</v>
      </c>
      <c r="I259" s="16">
        <f t="shared" si="7"/>
        <v>2941145.6557402262</v>
      </c>
      <c r="J259" s="127"/>
    </row>
    <row r="260" spans="2:10" x14ac:dyDescent="0.25">
      <c r="B260" s="6"/>
      <c r="C260" s="13"/>
      <c r="D260" s="82">
        <v>248</v>
      </c>
      <c r="E260" s="24">
        <f>I259+IF(Model!$E$32="Yes",(Model!$E$31=AmortSched!C260)*Model!$E$30*Model!$E$33,0)</f>
        <v>2941145.6557402262</v>
      </c>
      <c r="F260" s="24">
        <f>-PMT(Model!$E$40/12,(Model!$E$41*12)-(D260-1),E260)</f>
        <v>31279.600373498004</v>
      </c>
      <c r="G260" s="25">
        <f>E260*Model!$E$40/12</f>
        <v>9803.8188524674206</v>
      </c>
      <c r="H260" s="24">
        <f t="shared" si="6"/>
        <v>21475.781521030585</v>
      </c>
      <c r="I260" s="16">
        <f t="shared" si="7"/>
        <v>2919669.8742191955</v>
      </c>
      <c r="J260" s="127"/>
    </row>
    <row r="261" spans="2:10" x14ac:dyDescent="0.25">
      <c r="B261" s="6"/>
      <c r="C261" s="13"/>
      <c r="D261" s="82">
        <v>249</v>
      </c>
      <c r="E261" s="24">
        <f>I260+IF(Model!$E$32="Yes",(Model!$E$31=AmortSched!C261)*Model!$E$30*Model!$E$33,0)</f>
        <v>2919669.8742191955</v>
      </c>
      <c r="F261" s="24">
        <f>-PMT(Model!$E$40/12,(Model!$E$41*12)-(D261-1),E261)</f>
        <v>31279.600373497997</v>
      </c>
      <c r="G261" s="25">
        <f>E261*Model!$E$40/12</f>
        <v>9732.2329140639849</v>
      </c>
      <c r="H261" s="24">
        <f t="shared" si="6"/>
        <v>21547.367459434012</v>
      </c>
      <c r="I261" s="16">
        <f t="shared" si="7"/>
        <v>2898122.5067597614</v>
      </c>
      <c r="J261" s="127"/>
    </row>
    <row r="262" spans="2:10" x14ac:dyDescent="0.25">
      <c r="B262" s="6"/>
      <c r="C262" s="13"/>
      <c r="D262" s="82">
        <v>250</v>
      </c>
      <c r="E262" s="24">
        <f>I261+IF(Model!$E$32="Yes",(Model!$E$31=AmortSched!C262)*Model!$E$30*Model!$E$33,0)</f>
        <v>2898122.5067597614</v>
      </c>
      <c r="F262" s="24">
        <f>-PMT(Model!$E$40/12,(Model!$E$41*12)-(D262-1),E262)</f>
        <v>31279.600373498004</v>
      </c>
      <c r="G262" s="25">
        <f>E262*Model!$E$40/12</f>
        <v>9660.4083558658713</v>
      </c>
      <c r="H262" s="24">
        <f t="shared" si="6"/>
        <v>21619.192017632133</v>
      </c>
      <c r="I262" s="16">
        <f t="shared" si="7"/>
        <v>2876503.3147421293</v>
      </c>
      <c r="J262" s="127"/>
    </row>
    <row r="263" spans="2:10" x14ac:dyDescent="0.25">
      <c r="B263" s="6"/>
      <c r="C263" s="13"/>
      <c r="D263" s="82">
        <v>251</v>
      </c>
      <c r="E263" s="24">
        <f>I262+IF(Model!$E$32="Yes",(Model!$E$31=AmortSched!C263)*Model!$E$30*Model!$E$33,0)</f>
        <v>2876503.3147421293</v>
      </c>
      <c r="F263" s="24">
        <f>-PMT(Model!$E$40/12,(Model!$E$41*12)-(D263-1),E263)</f>
        <v>31279.600373497997</v>
      </c>
      <c r="G263" s="25">
        <f>E263*Model!$E$40/12</f>
        <v>9588.3443824737642</v>
      </c>
      <c r="H263" s="24">
        <f t="shared" si="6"/>
        <v>21691.255991024234</v>
      </c>
      <c r="I263" s="16">
        <f t="shared" si="7"/>
        <v>2854812.0587511049</v>
      </c>
      <c r="J263" s="127"/>
    </row>
    <row r="264" spans="2:10" x14ac:dyDescent="0.25">
      <c r="B264" s="6"/>
      <c r="C264" s="13"/>
      <c r="D264" s="82">
        <v>252</v>
      </c>
      <c r="E264" s="24">
        <f>I263+IF(Model!$E$32="Yes",(Model!$E$31=AmortSched!C264)*Model!$E$30*Model!$E$33,0)</f>
        <v>2854812.0587511049</v>
      </c>
      <c r="F264" s="24">
        <f>-PMT(Model!$E$40/12,(Model!$E$41*12)-(D264-1),E264)</f>
        <v>31279.600373497997</v>
      </c>
      <c r="G264" s="25">
        <f>E264*Model!$E$40/12</f>
        <v>9516.0401958370167</v>
      </c>
      <c r="H264" s="24">
        <f t="shared" si="6"/>
        <v>21763.56017766098</v>
      </c>
      <c r="I264" s="16">
        <f t="shared" si="7"/>
        <v>2833048.4985734439</v>
      </c>
      <c r="J264" s="127"/>
    </row>
    <row r="265" spans="2:10" x14ac:dyDescent="0.25">
      <c r="B265" s="6"/>
      <c r="C265" s="13"/>
      <c r="D265" s="82">
        <v>253</v>
      </c>
      <c r="E265" s="24">
        <f>I264+IF(Model!$E$32="Yes",(Model!$E$31=AmortSched!C265)*Model!$E$30*Model!$E$33,0)</f>
        <v>2833048.4985734439</v>
      </c>
      <c r="F265" s="24">
        <f>-PMT(Model!$E$40/12,(Model!$E$41*12)-(D265-1),E265)</f>
        <v>31279.600373498004</v>
      </c>
      <c r="G265" s="25">
        <f>E265*Model!$E$40/12</f>
        <v>9443.4949952448133</v>
      </c>
      <c r="H265" s="24">
        <f t="shared" si="6"/>
        <v>21836.105378253189</v>
      </c>
      <c r="I265" s="16">
        <f t="shared" si="7"/>
        <v>2811212.3931951905</v>
      </c>
      <c r="J265" s="127"/>
    </row>
    <row r="266" spans="2:10" x14ac:dyDescent="0.25">
      <c r="B266" s="6"/>
      <c r="C266" s="13"/>
      <c r="D266" s="82">
        <v>254</v>
      </c>
      <c r="E266" s="24">
        <f>I265+IF(Model!$E$32="Yes",(Model!$E$31=AmortSched!C266)*Model!$E$30*Model!$E$33,0)</f>
        <v>2811212.3931951905</v>
      </c>
      <c r="F266" s="24">
        <f>-PMT(Model!$E$40/12,(Model!$E$41*12)-(D266-1),E266)</f>
        <v>31279.600373497997</v>
      </c>
      <c r="G266" s="25">
        <f>E266*Model!$E$40/12</f>
        <v>9370.7079773173009</v>
      </c>
      <c r="H266" s="24">
        <f t="shared" si="6"/>
        <v>21908.892396180694</v>
      </c>
      <c r="I266" s="16">
        <f t="shared" si="7"/>
        <v>2789303.5007990096</v>
      </c>
      <c r="J266" s="127"/>
    </row>
    <row r="267" spans="2:10" x14ac:dyDescent="0.25">
      <c r="B267" s="6"/>
      <c r="C267" s="13"/>
      <c r="D267" s="82">
        <v>255</v>
      </c>
      <c r="E267" s="24">
        <f>I266+IF(Model!$E$32="Yes",(Model!$E$31=AmortSched!C267)*Model!$E$30*Model!$E$33,0)</f>
        <v>2789303.5007990096</v>
      </c>
      <c r="F267" s="24">
        <f>-PMT(Model!$E$40/12,(Model!$E$41*12)-(D267-1),E267)</f>
        <v>31279.600373497997</v>
      </c>
      <c r="G267" s="25">
        <f>E267*Model!$E$40/12</f>
        <v>9297.6783359966994</v>
      </c>
      <c r="H267" s="24">
        <f t="shared" si="6"/>
        <v>21981.922037501296</v>
      </c>
      <c r="I267" s="16">
        <f t="shared" si="7"/>
        <v>2767321.5787615082</v>
      </c>
      <c r="J267" s="127"/>
    </row>
    <row r="268" spans="2:10" x14ac:dyDescent="0.25">
      <c r="B268" s="6"/>
      <c r="C268" s="13"/>
      <c r="D268" s="82">
        <v>256</v>
      </c>
      <c r="E268" s="24">
        <f>I267+IF(Model!$E$32="Yes",(Model!$E$31=AmortSched!C268)*Model!$E$30*Model!$E$33,0)</f>
        <v>2767321.5787615082</v>
      </c>
      <c r="F268" s="24">
        <f>-PMT(Model!$E$40/12,(Model!$E$41*12)-(D268-1),E268)</f>
        <v>31279.600373497993</v>
      </c>
      <c r="G268" s="25">
        <f>E268*Model!$E$40/12</f>
        <v>9224.4052625383611</v>
      </c>
      <c r="H268" s="24">
        <f t="shared" si="6"/>
        <v>22055.195110959634</v>
      </c>
      <c r="I268" s="16">
        <f t="shared" si="7"/>
        <v>2745266.3836505488</v>
      </c>
      <c r="J268" s="127"/>
    </row>
    <row r="269" spans="2:10" x14ac:dyDescent="0.25">
      <c r="B269" s="6"/>
      <c r="C269" s="13"/>
      <c r="D269" s="82">
        <v>257</v>
      </c>
      <c r="E269" s="24">
        <f>I268+IF(Model!$E$32="Yes",(Model!$E$31=AmortSched!C269)*Model!$E$30*Model!$E$33,0)</f>
        <v>2745266.3836505488</v>
      </c>
      <c r="F269" s="24">
        <f>-PMT(Model!$E$40/12,(Model!$E$41*12)-(D269-1),E269)</f>
        <v>31279.600373497993</v>
      </c>
      <c r="G269" s="25">
        <f>E269*Model!$E$40/12</f>
        <v>9150.8879455018305</v>
      </c>
      <c r="H269" s="24">
        <f t="shared" si="6"/>
        <v>22128.712427996164</v>
      </c>
      <c r="I269" s="16">
        <f t="shared" si="7"/>
        <v>2723137.6712225527</v>
      </c>
      <c r="J269" s="127"/>
    </row>
    <row r="270" spans="2:10" x14ac:dyDescent="0.25">
      <c r="B270" s="6"/>
      <c r="C270" s="13"/>
      <c r="D270" s="82">
        <v>258</v>
      </c>
      <c r="E270" s="24">
        <f>I269+IF(Model!$E$32="Yes",(Model!$E$31=AmortSched!C270)*Model!$E$30*Model!$E$33,0)</f>
        <v>2723137.6712225527</v>
      </c>
      <c r="F270" s="24">
        <f>-PMT(Model!$E$40/12,(Model!$E$41*12)-(D270-1),E270)</f>
        <v>31279.600373497997</v>
      </c>
      <c r="G270" s="25">
        <f>E270*Model!$E$40/12</f>
        <v>9077.1255707418422</v>
      </c>
      <c r="H270" s="24">
        <f t="shared" si="6"/>
        <v>22202.474802756155</v>
      </c>
      <c r="I270" s="16">
        <f t="shared" si="7"/>
        <v>2700935.1964197964</v>
      </c>
      <c r="J270" s="127"/>
    </row>
    <row r="271" spans="2:10" x14ac:dyDescent="0.25">
      <c r="B271" s="6"/>
      <c r="C271" s="13"/>
      <c r="D271" s="82">
        <v>259</v>
      </c>
      <c r="E271" s="24">
        <f>I270+IF(Model!$E$32="Yes",(Model!$E$31=AmortSched!C271)*Model!$E$30*Model!$E$33,0)</f>
        <v>2700935.1964197964</v>
      </c>
      <c r="F271" s="24">
        <f>-PMT(Model!$E$40/12,(Model!$E$41*12)-(D271-1),E271)</f>
        <v>31279.600373497993</v>
      </c>
      <c r="G271" s="25">
        <f>E271*Model!$E$40/12</f>
        <v>9003.1173213993225</v>
      </c>
      <c r="H271" s="24">
        <f t="shared" ref="H271:H334" si="8">F271-G271</f>
        <v>22276.483052098672</v>
      </c>
      <c r="I271" s="16">
        <f t="shared" ref="I271:I334" si="9">E271-H271</f>
        <v>2678658.7133676978</v>
      </c>
      <c r="J271" s="127"/>
    </row>
    <row r="272" spans="2:10" x14ac:dyDescent="0.25">
      <c r="B272" s="6"/>
      <c r="C272" s="13"/>
      <c r="D272" s="82">
        <v>260</v>
      </c>
      <c r="E272" s="24">
        <f>I271+IF(Model!$E$32="Yes",(Model!$E$31=AmortSched!C272)*Model!$E$30*Model!$E$33,0)</f>
        <v>2678658.7133676978</v>
      </c>
      <c r="F272" s="24">
        <f>-PMT(Model!$E$40/12,(Model!$E$41*12)-(D272-1),E272)</f>
        <v>31279.600373497997</v>
      </c>
      <c r="G272" s="25">
        <f>E272*Model!$E$40/12</f>
        <v>8928.8623778923265</v>
      </c>
      <c r="H272" s="24">
        <f t="shared" si="8"/>
        <v>22350.737995605668</v>
      </c>
      <c r="I272" s="16">
        <f t="shared" si="9"/>
        <v>2656307.9753720923</v>
      </c>
      <c r="J272" s="127"/>
    </row>
    <row r="273" spans="2:10" x14ac:dyDescent="0.25">
      <c r="B273" s="6"/>
      <c r="C273" s="13"/>
      <c r="D273" s="82">
        <v>261</v>
      </c>
      <c r="E273" s="24">
        <f>I272+IF(Model!$E$32="Yes",(Model!$E$31=AmortSched!C273)*Model!$E$30*Model!$E$33,0)</f>
        <v>2656307.9753720923</v>
      </c>
      <c r="F273" s="24">
        <f>-PMT(Model!$E$40/12,(Model!$E$41*12)-(D273-1),E273)</f>
        <v>31279.600373497997</v>
      </c>
      <c r="G273" s="25">
        <f>E273*Model!$E$40/12</f>
        <v>8854.3599179069752</v>
      </c>
      <c r="H273" s="24">
        <f t="shared" si="8"/>
        <v>22425.240455591022</v>
      </c>
      <c r="I273" s="16">
        <f t="shared" si="9"/>
        <v>2633882.7349165012</v>
      </c>
      <c r="J273" s="127"/>
    </row>
    <row r="274" spans="2:10" x14ac:dyDescent="0.25">
      <c r="B274" s="6"/>
      <c r="C274" s="13"/>
      <c r="D274" s="82">
        <v>262</v>
      </c>
      <c r="E274" s="24">
        <f>I273+IF(Model!$E$32="Yes",(Model!$E$31=AmortSched!C274)*Model!$E$30*Model!$E$33,0)</f>
        <v>2633882.7349165012</v>
      </c>
      <c r="F274" s="24">
        <f>-PMT(Model!$E$40/12,(Model!$E$41*12)-(D274-1),E274)</f>
        <v>31279.600373497997</v>
      </c>
      <c r="G274" s="25">
        <f>E274*Model!$E$40/12</f>
        <v>8779.6091163883375</v>
      </c>
      <c r="H274" s="24">
        <f t="shared" si="8"/>
        <v>22499.991257109657</v>
      </c>
      <c r="I274" s="16">
        <f t="shared" si="9"/>
        <v>2611382.7436593915</v>
      </c>
      <c r="J274" s="127"/>
    </row>
    <row r="275" spans="2:10" x14ac:dyDescent="0.25">
      <c r="B275" s="6"/>
      <c r="C275" s="13"/>
      <c r="D275" s="82">
        <v>263</v>
      </c>
      <c r="E275" s="24">
        <f>I274+IF(Model!$E$32="Yes",(Model!$E$31=AmortSched!C275)*Model!$E$30*Model!$E$33,0)</f>
        <v>2611382.7436593915</v>
      </c>
      <c r="F275" s="24">
        <f>-PMT(Model!$E$40/12,(Model!$E$41*12)-(D275-1),E275)</f>
        <v>31279.600373497993</v>
      </c>
      <c r="G275" s="25">
        <f>E275*Model!$E$40/12</f>
        <v>8704.6091455313053</v>
      </c>
      <c r="H275" s="24">
        <f t="shared" si="8"/>
        <v>22574.99122796669</v>
      </c>
      <c r="I275" s="16">
        <f t="shared" si="9"/>
        <v>2588807.7524314248</v>
      </c>
      <c r="J275" s="127"/>
    </row>
    <row r="276" spans="2:10" x14ac:dyDescent="0.25">
      <c r="B276" s="6"/>
      <c r="C276" s="13"/>
      <c r="D276" s="82">
        <v>264</v>
      </c>
      <c r="E276" s="24">
        <f>I275+IF(Model!$E$32="Yes",(Model!$E$31=AmortSched!C276)*Model!$E$30*Model!$E$33,0)</f>
        <v>2588807.7524314248</v>
      </c>
      <c r="F276" s="24">
        <f>-PMT(Model!$E$40/12,(Model!$E$41*12)-(D276-1),E276)</f>
        <v>31279.600373498004</v>
      </c>
      <c r="G276" s="25">
        <f>E276*Model!$E$40/12</f>
        <v>8629.3591747714163</v>
      </c>
      <c r="H276" s="24">
        <f t="shared" si="8"/>
        <v>22650.241198726588</v>
      </c>
      <c r="I276" s="16">
        <f t="shared" si="9"/>
        <v>2566157.5112326983</v>
      </c>
      <c r="J276" s="127"/>
    </row>
    <row r="277" spans="2:10" x14ac:dyDescent="0.25">
      <c r="B277" s="6"/>
      <c r="C277" s="13"/>
      <c r="D277" s="82">
        <v>265</v>
      </c>
      <c r="E277" s="24">
        <f>I276+IF(Model!$E$32="Yes",(Model!$E$31=AmortSched!C277)*Model!$E$30*Model!$E$33,0)</f>
        <v>2566157.5112326983</v>
      </c>
      <c r="F277" s="24">
        <f>-PMT(Model!$E$40/12,(Model!$E$41*12)-(D277-1),E277)</f>
        <v>31279.600373497997</v>
      </c>
      <c r="G277" s="25">
        <f>E277*Model!$E$40/12</f>
        <v>8553.8583707756607</v>
      </c>
      <c r="H277" s="24">
        <f t="shared" si="8"/>
        <v>22725.742002722334</v>
      </c>
      <c r="I277" s="16">
        <f t="shared" si="9"/>
        <v>2543431.769229976</v>
      </c>
      <c r="J277" s="127"/>
    </row>
    <row r="278" spans="2:10" x14ac:dyDescent="0.25">
      <c r="B278" s="6"/>
      <c r="C278" s="13"/>
      <c r="D278" s="82">
        <v>266</v>
      </c>
      <c r="E278" s="24">
        <f>I277+IF(Model!$E$32="Yes",(Model!$E$31=AmortSched!C278)*Model!$E$30*Model!$E$33,0)</f>
        <v>2543431.769229976</v>
      </c>
      <c r="F278" s="24">
        <f>-PMT(Model!$E$40/12,(Model!$E$41*12)-(D278-1),E278)</f>
        <v>31279.600373497997</v>
      </c>
      <c r="G278" s="25">
        <f>E278*Model!$E$40/12</f>
        <v>8478.1058974332536</v>
      </c>
      <c r="H278" s="24">
        <f t="shared" si="8"/>
        <v>22801.494476064741</v>
      </c>
      <c r="I278" s="16">
        <f t="shared" si="9"/>
        <v>2520630.2747539114</v>
      </c>
      <c r="J278" s="127"/>
    </row>
    <row r="279" spans="2:10" x14ac:dyDescent="0.25">
      <c r="B279" s="6"/>
      <c r="C279" s="13"/>
      <c r="D279" s="82">
        <v>267</v>
      </c>
      <c r="E279" s="24">
        <f>I278+IF(Model!$E$32="Yes",(Model!$E$31=AmortSched!C279)*Model!$E$30*Model!$E$33,0)</f>
        <v>2520630.2747539114</v>
      </c>
      <c r="F279" s="24">
        <f>-PMT(Model!$E$40/12,(Model!$E$41*12)-(D279-1),E279)</f>
        <v>31279.600373497997</v>
      </c>
      <c r="G279" s="25">
        <f>E279*Model!$E$40/12</f>
        <v>8402.1009158463712</v>
      </c>
      <c r="H279" s="24">
        <f t="shared" si="8"/>
        <v>22877.499457651626</v>
      </c>
      <c r="I279" s="16">
        <f t="shared" si="9"/>
        <v>2497752.7752962597</v>
      </c>
      <c r="J279" s="127"/>
    </row>
    <row r="280" spans="2:10" x14ac:dyDescent="0.25">
      <c r="B280" s="6"/>
      <c r="C280" s="13"/>
      <c r="D280" s="82">
        <v>268</v>
      </c>
      <c r="E280" s="24">
        <f>I279+IF(Model!$E$32="Yes",(Model!$E$31=AmortSched!C280)*Model!$E$30*Model!$E$33,0)</f>
        <v>2497752.7752962597</v>
      </c>
      <c r="F280" s="24">
        <f>-PMT(Model!$E$40/12,(Model!$E$41*12)-(D280-1),E280)</f>
        <v>31279.600373498004</v>
      </c>
      <c r="G280" s="25">
        <f>E280*Model!$E$40/12</f>
        <v>8325.8425843208661</v>
      </c>
      <c r="H280" s="24">
        <f t="shared" si="8"/>
        <v>22953.757789177136</v>
      </c>
      <c r="I280" s="16">
        <f t="shared" si="9"/>
        <v>2474799.0175070823</v>
      </c>
      <c r="J280" s="127"/>
    </row>
    <row r="281" spans="2:10" x14ac:dyDescent="0.25">
      <c r="B281" s="6"/>
      <c r="C281" s="13"/>
      <c r="D281" s="82">
        <v>269</v>
      </c>
      <c r="E281" s="24">
        <f>I280+IF(Model!$E$32="Yes",(Model!$E$31=AmortSched!C281)*Model!$E$30*Model!$E$33,0)</f>
        <v>2474799.0175070823</v>
      </c>
      <c r="F281" s="24">
        <f>-PMT(Model!$E$40/12,(Model!$E$41*12)-(D281-1),E281)</f>
        <v>31279.600373497997</v>
      </c>
      <c r="G281" s="25">
        <f>E281*Model!$E$40/12</f>
        <v>8249.3300583569417</v>
      </c>
      <c r="H281" s="24">
        <f t="shared" si="8"/>
        <v>23030.270315141053</v>
      </c>
      <c r="I281" s="16">
        <f t="shared" si="9"/>
        <v>2451768.7471919414</v>
      </c>
      <c r="J281" s="127"/>
    </row>
    <row r="282" spans="2:10" x14ac:dyDescent="0.25">
      <c r="B282" s="6"/>
      <c r="C282" s="13"/>
      <c r="D282" s="82">
        <v>270</v>
      </c>
      <c r="E282" s="24">
        <f>I281+IF(Model!$E$32="Yes",(Model!$E$31=AmortSched!C282)*Model!$E$30*Model!$E$33,0)</f>
        <v>2451768.7471919414</v>
      </c>
      <c r="F282" s="24">
        <f>-PMT(Model!$E$40/12,(Model!$E$41*12)-(D282-1),E282)</f>
        <v>31279.600373498004</v>
      </c>
      <c r="G282" s="25">
        <f>E282*Model!$E$40/12</f>
        <v>8172.5624906398043</v>
      </c>
      <c r="H282" s="24">
        <f t="shared" si="8"/>
        <v>23107.0378828582</v>
      </c>
      <c r="I282" s="16">
        <f t="shared" si="9"/>
        <v>2428661.7093090829</v>
      </c>
      <c r="J282" s="127"/>
    </row>
    <row r="283" spans="2:10" x14ac:dyDescent="0.25">
      <c r="B283" s="6"/>
      <c r="C283" s="13"/>
      <c r="D283" s="82">
        <v>271</v>
      </c>
      <c r="E283" s="24">
        <f>I282+IF(Model!$E$32="Yes",(Model!$E$31=AmortSched!C283)*Model!$E$30*Model!$E$33,0)</f>
        <v>2428661.7093090829</v>
      </c>
      <c r="F283" s="24">
        <f>-PMT(Model!$E$40/12,(Model!$E$41*12)-(D283-1),E283)</f>
        <v>31279.600373497997</v>
      </c>
      <c r="G283" s="25">
        <f>E283*Model!$E$40/12</f>
        <v>8095.5390310302764</v>
      </c>
      <c r="H283" s="24">
        <f t="shared" si="8"/>
        <v>23184.061342467721</v>
      </c>
      <c r="I283" s="16">
        <f t="shared" si="9"/>
        <v>2405477.6479666154</v>
      </c>
      <c r="J283" s="127"/>
    </row>
    <row r="284" spans="2:10" x14ac:dyDescent="0.25">
      <c r="B284" s="6"/>
      <c r="C284" s="13"/>
      <c r="D284" s="82">
        <v>272</v>
      </c>
      <c r="E284" s="24">
        <f>I283+IF(Model!$E$32="Yes",(Model!$E$31=AmortSched!C284)*Model!$E$30*Model!$E$33,0)</f>
        <v>2405477.6479666154</v>
      </c>
      <c r="F284" s="24">
        <f>-PMT(Model!$E$40/12,(Model!$E$41*12)-(D284-1),E284)</f>
        <v>31279.600373497997</v>
      </c>
      <c r="G284" s="25">
        <f>E284*Model!$E$40/12</f>
        <v>8018.258826555385</v>
      </c>
      <c r="H284" s="24">
        <f t="shared" si="8"/>
        <v>23261.341546942611</v>
      </c>
      <c r="I284" s="16">
        <f t="shared" si="9"/>
        <v>2382216.3064196729</v>
      </c>
      <c r="J284" s="127"/>
    </row>
    <row r="285" spans="2:10" x14ac:dyDescent="0.25">
      <c r="B285" s="6"/>
      <c r="C285" s="13"/>
      <c r="D285" s="82">
        <v>273</v>
      </c>
      <c r="E285" s="24">
        <f>I284+IF(Model!$E$32="Yes",(Model!$E$31=AmortSched!C285)*Model!$E$30*Model!$E$33,0)</f>
        <v>2382216.3064196729</v>
      </c>
      <c r="F285" s="24">
        <f>-PMT(Model!$E$40/12,(Model!$E$41*12)-(D285-1),E285)</f>
        <v>31279.600373497997</v>
      </c>
      <c r="G285" s="25">
        <f>E285*Model!$E$40/12</f>
        <v>7940.7210213989101</v>
      </c>
      <c r="H285" s="24">
        <f t="shared" si="8"/>
        <v>23338.879352099088</v>
      </c>
      <c r="I285" s="16">
        <f t="shared" si="9"/>
        <v>2358877.4270675736</v>
      </c>
      <c r="J285" s="127"/>
    </row>
    <row r="286" spans="2:10" x14ac:dyDescent="0.25">
      <c r="B286" s="6"/>
      <c r="C286" s="13"/>
      <c r="D286" s="82">
        <v>274</v>
      </c>
      <c r="E286" s="24">
        <f>I285+IF(Model!$E$32="Yes",(Model!$E$31=AmortSched!C286)*Model!$E$30*Model!$E$33,0)</f>
        <v>2358877.4270675736</v>
      </c>
      <c r="F286" s="24">
        <f>-PMT(Model!$E$40/12,(Model!$E$41*12)-(D286-1),E286)</f>
        <v>31279.600373497997</v>
      </c>
      <c r="G286" s="25">
        <f>E286*Model!$E$40/12</f>
        <v>7862.9247568919127</v>
      </c>
      <c r="H286" s="24">
        <f t="shared" si="8"/>
        <v>23416.675616606084</v>
      </c>
      <c r="I286" s="16">
        <f t="shared" si="9"/>
        <v>2335460.7514509675</v>
      </c>
      <c r="J286" s="127"/>
    </row>
    <row r="287" spans="2:10" x14ac:dyDescent="0.25">
      <c r="B287" s="6"/>
      <c r="C287" s="13"/>
      <c r="D287" s="82">
        <v>275</v>
      </c>
      <c r="E287" s="24">
        <f>I286+IF(Model!$E$32="Yes",(Model!$E$31=AmortSched!C287)*Model!$E$30*Model!$E$33,0)</f>
        <v>2335460.7514509675</v>
      </c>
      <c r="F287" s="24">
        <f>-PMT(Model!$E$40/12,(Model!$E$41*12)-(D287-1),E287)</f>
        <v>31279.600373497997</v>
      </c>
      <c r="G287" s="25">
        <f>E287*Model!$E$40/12</f>
        <v>7784.8691715032255</v>
      </c>
      <c r="H287" s="24">
        <f t="shared" si="8"/>
        <v>23494.731201994771</v>
      </c>
      <c r="I287" s="16">
        <f t="shared" si="9"/>
        <v>2311966.0202489728</v>
      </c>
      <c r="J287" s="127"/>
    </row>
    <row r="288" spans="2:10" x14ac:dyDescent="0.25">
      <c r="B288" s="6"/>
      <c r="C288" s="13"/>
      <c r="D288" s="82">
        <v>276</v>
      </c>
      <c r="E288" s="24">
        <f>I287+IF(Model!$E$32="Yes",(Model!$E$31=AmortSched!C288)*Model!$E$30*Model!$E$33,0)</f>
        <v>2311966.0202489728</v>
      </c>
      <c r="F288" s="24">
        <f>-PMT(Model!$E$40/12,(Model!$E$41*12)-(D288-1),E288)</f>
        <v>31279.600373497993</v>
      </c>
      <c r="G288" s="25">
        <f>E288*Model!$E$40/12</f>
        <v>7706.5534008299101</v>
      </c>
      <c r="H288" s="24">
        <f t="shared" si="8"/>
        <v>23573.046972668082</v>
      </c>
      <c r="I288" s="16">
        <f t="shared" si="9"/>
        <v>2288392.9732763045</v>
      </c>
      <c r="J288" s="127"/>
    </row>
    <row r="289" spans="2:10" x14ac:dyDescent="0.25">
      <c r="B289" s="6"/>
      <c r="C289" s="13"/>
      <c r="D289" s="82">
        <v>277</v>
      </c>
      <c r="E289" s="24">
        <f>I288+IF(Model!$E$32="Yes",(Model!$E$31=AmortSched!C289)*Model!$E$30*Model!$E$33,0)</f>
        <v>2288392.9732763045</v>
      </c>
      <c r="F289" s="24">
        <f>-PMT(Model!$E$40/12,(Model!$E$41*12)-(D289-1),E289)</f>
        <v>31279.600373497993</v>
      </c>
      <c r="G289" s="25">
        <f>E289*Model!$E$40/12</f>
        <v>7627.9765775876813</v>
      </c>
      <c r="H289" s="24">
        <f t="shared" si="8"/>
        <v>23651.623795910313</v>
      </c>
      <c r="I289" s="16">
        <f t="shared" si="9"/>
        <v>2264741.3494803943</v>
      </c>
      <c r="J289" s="127"/>
    </row>
    <row r="290" spans="2:10" x14ac:dyDescent="0.25">
      <c r="B290" s="6"/>
      <c r="C290" s="13"/>
      <c r="D290" s="82">
        <v>278</v>
      </c>
      <c r="E290" s="24">
        <f>I289+IF(Model!$E$32="Yes",(Model!$E$31=AmortSched!C290)*Model!$E$30*Model!$E$33,0)</f>
        <v>2264741.3494803943</v>
      </c>
      <c r="F290" s="24">
        <f>-PMT(Model!$E$40/12,(Model!$E$41*12)-(D290-1),E290)</f>
        <v>31279.600373497993</v>
      </c>
      <c r="G290" s="25">
        <f>E290*Model!$E$40/12</f>
        <v>7549.1378316013142</v>
      </c>
      <c r="H290" s="24">
        <f t="shared" si="8"/>
        <v>23730.462541896679</v>
      </c>
      <c r="I290" s="16">
        <f t="shared" si="9"/>
        <v>2241010.8869384974</v>
      </c>
      <c r="J290" s="127"/>
    </row>
    <row r="291" spans="2:10" x14ac:dyDescent="0.25">
      <c r="B291" s="6"/>
      <c r="C291" s="13"/>
      <c r="D291" s="82">
        <v>279</v>
      </c>
      <c r="E291" s="24">
        <f>I290+IF(Model!$E$32="Yes",(Model!$E$31=AmortSched!C291)*Model!$E$30*Model!$E$33,0)</f>
        <v>2241010.8869384974</v>
      </c>
      <c r="F291" s="24">
        <f>-PMT(Model!$E$40/12,(Model!$E$41*12)-(D291-1),E291)</f>
        <v>31279.600373497993</v>
      </c>
      <c r="G291" s="25">
        <f>E291*Model!$E$40/12</f>
        <v>7470.0362897949917</v>
      </c>
      <c r="H291" s="24">
        <f t="shared" si="8"/>
        <v>23809.564083703001</v>
      </c>
      <c r="I291" s="16">
        <f t="shared" si="9"/>
        <v>2217201.3228547946</v>
      </c>
      <c r="J291" s="127"/>
    </row>
    <row r="292" spans="2:10" x14ac:dyDescent="0.25">
      <c r="B292" s="6"/>
      <c r="C292" s="13"/>
      <c r="D292" s="82">
        <v>280</v>
      </c>
      <c r="E292" s="24">
        <f>I291+IF(Model!$E$32="Yes",(Model!$E$31=AmortSched!C292)*Model!$E$30*Model!$E$33,0)</f>
        <v>2217201.3228547946</v>
      </c>
      <c r="F292" s="24">
        <f>-PMT(Model!$E$40/12,(Model!$E$41*12)-(D292-1),E292)</f>
        <v>31279.600373497993</v>
      </c>
      <c r="G292" s="25">
        <f>E292*Model!$E$40/12</f>
        <v>7390.671076182648</v>
      </c>
      <c r="H292" s="24">
        <f t="shared" si="8"/>
        <v>23888.929297315346</v>
      </c>
      <c r="I292" s="16">
        <f t="shared" si="9"/>
        <v>2193312.3935574791</v>
      </c>
      <c r="J292" s="127"/>
    </row>
    <row r="293" spans="2:10" x14ac:dyDescent="0.25">
      <c r="B293" s="6"/>
      <c r="C293" s="13"/>
      <c r="D293" s="82">
        <v>281</v>
      </c>
      <c r="E293" s="24">
        <f>I292+IF(Model!$E$32="Yes",(Model!$E$31=AmortSched!C293)*Model!$E$30*Model!$E$33,0)</f>
        <v>2193312.3935574791</v>
      </c>
      <c r="F293" s="24">
        <f>-PMT(Model!$E$40/12,(Model!$E$41*12)-(D293-1),E293)</f>
        <v>31279.600373497997</v>
      </c>
      <c r="G293" s="25">
        <f>E293*Model!$E$40/12</f>
        <v>7311.0413118582646</v>
      </c>
      <c r="H293" s="24">
        <f t="shared" si="8"/>
        <v>23968.559061639731</v>
      </c>
      <c r="I293" s="16">
        <f t="shared" si="9"/>
        <v>2169343.8344958392</v>
      </c>
      <c r="J293" s="127"/>
    </row>
    <row r="294" spans="2:10" x14ac:dyDescent="0.25">
      <c r="B294" s="6"/>
      <c r="C294" s="13"/>
      <c r="D294" s="82">
        <v>282</v>
      </c>
      <c r="E294" s="24">
        <f>I293+IF(Model!$E$32="Yes",(Model!$E$31=AmortSched!C294)*Model!$E$30*Model!$E$33,0)</f>
        <v>2169343.8344958392</v>
      </c>
      <c r="F294" s="24">
        <f>-PMT(Model!$E$40/12,(Model!$E$41*12)-(D294-1),E294)</f>
        <v>31279.600373497986</v>
      </c>
      <c r="G294" s="25">
        <f>E294*Model!$E$40/12</f>
        <v>7231.1461149861307</v>
      </c>
      <c r="H294" s="24">
        <f t="shared" si="8"/>
        <v>24048.454258511854</v>
      </c>
      <c r="I294" s="16">
        <f t="shared" si="9"/>
        <v>2145295.3802373274</v>
      </c>
      <c r="J294" s="127"/>
    </row>
    <row r="295" spans="2:10" x14ac:dyDescent="0.25">
      <c r="B295" s="6"/>
      <c r="C295" s="13"/>
      <c r="D295" s="82">
        <v>283</v>
      </c>
      <c r="E295" s="24">
        <f>I294+IF(Model!$E$32="Yes",(Model!$E$31=AmortSched!C295)*Model!$E$30*Model!$E$33,0)</f>
        <v>2145295.3802373274</v>
      </c>
      <c r="F295" s="24">
        <f>-PMT(Model!$E$40/12,(Model!$E$41*12)-(D295-1),E295)</f>
        <v>31279.600373497997</v>
      </c>
      <c r="G295" s="25">
        <f>E295*Model!$E$40/12</f>
        <v>7150.9846007910919</v>
      </c>
      <c r="H295" s="24">
        <f t="shared" si="8"/>
        <v>24128.615772706904</v>
      </c>
      <c r="I295" s="16">
        <f t="shared" si="9"/>
        <v>2121166.7644646205</v>
      </c>
      <c r="J295" s="127"/>
    </row>
    <row r="296" spans="2:10" x14ac:dyDescent="0.25">
      <c r="B296" s="6"/>
      <c r="C296" s="13"/>
      <c r="D296" s="82">
        <v>284</v>
      </c>
      <c r="E296" s="24">
        <f>I295+IF(Model!$E$32="Yes",(Model!$E$31=AmortSched!C296)*Model!$E$30*Model!$E$33,0)</f>
        <v>2121166.7644646205</v>
      </c>
      <c r="F296" s="24">
        <f>-PMT(Model!$E$40/12,(Model!$E$41*12)-(D296-1),E296)</f>
        <v>31279.600373497993</v>
      </c>
      <c r="G296" s="25">
        <f>E296*Model!$E$40/12</f>
        <v>7070.5558815487348</v>
      </c>
      <c r="H296" s="24">
        <f t="shared" si="8"/>
        <v>24209.044491949258</v>
      </c>
      <c r="I296" s="16">
        <f t="shared" si="9"/>
        <v>2096957.7199726712</v>
      </c>
      <c r="J296" s="127"/>
    </row>
    <row r="297" spans="2:10" x14ac:dyDescent="0.25">
      <c r="B297" s="6"/>
      <c r="C297" s="13"/>
      <c r="D297" s="82">
        <v>285</v>
      </c>
      <c r="E297" s="24">
        <f>I296+IF(Model!$E$32="Yes",(Model!$E$31=AmortSched!C297)*Model!$E$30*Model!$E$33,0)</f>
        <v>2096957.7199726712</v>
      </c>
      <c r="F297" s="24">
        <f>-PMT(Model!$E$40/12,(Model!$E$41*12)-(D297-1),E297)</f>
        <v>31279.600373497993</v>
      </c>
      <c r="G297" s="25">
        <f>E297*Model!$E$40/12</f>
        <v>6989.8590665755701</v>
      </c>
      <c r="H297" s="24">
        <f t="shared" si="8"/>
        <v>24289.741306922424</v>
      </c>
      <c r="I297" s="16">
        <f t="shared" si="9"/>
        <v>2072667.9786657488</v>
      </c>
      <c r="J297" s="127"/>
    </row>
    <row r="298" spans="2:10" x14ac:dyDescent="0.25">
      <c r="B298" s="6"/>
      <c r="C298" s="13"/>
      <c r="D298" s="82">
        <v>286</v>
      </c>
      <c r="E298" s="24">
        <f>I297+IF(Model!$E$32="Yes",(Model!$E$31=AmortSched!C298)*Model!$E$30*Model!$E$33,0)</f>
        <v>2072667.9786657488</v>
      </c>
      <c r="F298" s="24">
        <f>-PMT(Model!$E$40/12,(Model!$E$41*12)-(D298-1),E298)</f>
        <v>31279.600373497993</v>
      </c>
      <c r="G298" s="25">
        <f>E298*Model!$E$40/12</f>
        <v>6908.8932622191633</v>
      </c>
      <c r="H298" s="24">
        <f t="shared" si="8"/>
        <v>24370.707111278829</v>
      </c>
      <c r="I298" s="16">
        <f t="shared" si="9"/>
        <v>2048297.2715544701</v>
      </c>
      <c r="J298" s="127"/>
    </row>
    <row r="299" spans="2:10" x14ac:dyDescent="0.25">
      <c r="B299" s="6"/>
      <c r="C299" s="13"/>
      <c r="D299" s="82">
        <v>287</v>
      </c>
      <c r="E299" s="24">
        <f>I298+IF(Model!$E$32="Yes",(Model!$E$31=AmortSched!C299)*Model!$E$30*Model!$E$33,0)</f>
        <v>2048297.2715544701</v>
      </c>
      <c r="F299" s="24">
        <f>-PMT(Model!$E$40/12,(Model!$E$41*12)-(D299-1),E299)</f>
        <v>31279.600373497993</v>
      </c>
      <c r="G299" s="25">
        <f>E299*Model!$E$40/12</f>
        <v>6827.6575718482336</v>
      </c>
      <c r="H299" s="24">
        <f t="shared" si="8"/>
        <v>24451.942801649759</v>
      </c>
      <c r="I299" s="16">
        <f t="shared" si="9"/>
        <v>2023845.3287528204</v>
      </c>
      <c r="J299" s="127"/>
    </row>
    <row r="300" spans="2:10" x14ac:dyDescent="0.25">
      <c r="B300" s="6"/>
      <c r="C300" s="13"/>
      <c r="D300" s="82">
        <v>288</v>
      </c>
      <c r="E300" s="24">
        <f>I299+IF(Model!$E$32="Yes",(Model!$E$31=AmortSched!C300)*Model!$E$30*Model!$E$33,0)</f>
        <v>2023845.3287528204</v>
      </c>
      <c r="F300" s="24">
        <f>-PMT(Model!$E$40/12,(Model!$E$41*12)-(D300-1),E300)</f>
        <v>31279.600373497993</v>
      </c>
      <c r="G300" s="25">
        <f>E300*Model!$E$40/12</f>
        <v>6746.1510958427352</v>
      </c>
      <c r="H300" s="24">
        <f t="shared" si="8"/>
        <v>24533.449277655258</v>
      </c>
      <c r="I300" s="16">
        <f t="shared" si="9"/>
        <v>1999311.8794751652</v>
      </c>
      <c r="J300" s="127"/>
    </row>
    <row r="301" spans="2:10" x14ac:dyDescent="0.25">
      <c r="B301" s="6"/>
      <c r="C301" s="13"/>
      <c r="D301" s="82">
        <v>289</v>
      </c>
      <c r="E301" s="24">
        <f>I300+IF(Model!$E$32="Yes",(Model!$E$31=AmortSched!C301)*Model!$E$30*Model!$E$33,0)</f>
        <v>1999311.8794751652</v>
      </c>
      <c r="F301" s="24">
        <f>-PMT(Model!$E$40/12,(Model!$E$41*12)-(D301-1),E301)</f>
        <v>31279.600373497993</v>
      </c>
      <c r="G301" s="25">
        <f>E301*Model!$E$40/12</f>
        <v>6664.3729315838837</v>
      </c>
      <c r="H301" s="24">
        <f t="shared" si="8"/>
        <v>24615.22744191411</v>
      </c>
      <c r="I301" s="16">
        <f t="shared" si="9"/>
        <v>1974696.652033251</v>
      </c>
      <c r="J301" s="127"/>
    </row>
    <row r="302" spans="2:10" x14ac:dyDescent="0.25">
      <c r="B302" s="6"/>
      <c r="C302" s="13"/>
      <c r="D302" s="82">
        <v>290</v>
      </c>
      <c r="E302" s="24">
        <f>I301+IF(Model!$E$32="Yes",(Model!$E$31=AmortSched!C302)*Model!$E$30*Model!$E$33,0)</f>
        <v>1974696.652033251</v>
      </c>
      <c r="F302" s="24">
        <f>-PMT(Model!$E$40/12,(Model!$E$41*12)-(D302-1),E302)</f>
        <v>31279.600373497993</v>
      </c>
      <c r="G302" s="25">
        <f>E302*Model!$E$40/12</f>
        <v>6582.3221734441695</v>
      </c>
      <c r="H302" s="24">
        <f t="shared" si="8"/>
        <v>24697.278200053825</v>
      </c>
      <c r="I302" s="16">
        <f t="shared" si="9"/>
        <v>1949999.3738331972</v>
      </c>
      <c r="J302" s="127"/>
    </row>
    <row r="303" spans="2:10" x14ac:dyDescent="0.25">
      <c r="B303" s="6"/>
      <c r="C303" s="13"/>
      <c r="D303" s="82">
        <v>291</v>
      </c>
      <c r="E303" s="24">
        <f>I302+IF(Model!$E$32="Yes",(Model!$E$31=AmortSched!C303)*Model!$E$30*Model!$E$33,0)</f>
        <v>1949999.3738331972</v>
      </c>
      <c r="F303" s="24">
        <f>-PMT(Model!$E$40/12,(Model!$E$41*12)-(D303-1),E303)</f>
        <v>31279.600373497993</v>
      </c>
      <c r="G303" s="25">
        <f>E303*Model!$E$40/12</f>
        <v>6499.9979127773249</v>
      </c>
      <c r="H303" s="24">
        <f t="shared" si="8"/>
        <v>24779.602460720667</v>
      </c>
      <c r="I303" s="16">
        <f t="shared" si="9"/>
        <v>1925219.7713724766</v>
      </c>
      <c r="J303" s="127"/>
    </row>
    <row r="304" spans="2:10" x14ac:dyDescent="0.25">
      <c r="B304" s="6"/>
      <c r="C304" s="13"/>
      <c r="D304" s="82">
        <v>292</v>
      </c>
      <c r="E304" s="24">
        <f>I303+IF(Model!$E$32="Yes",(Model!$E$31=AmortSched!C304)*Model!$E$30*Model!$E$33,0)</f>
        <v>1925219.7713724766</v>
      </c>
      <c r="F304" s="24">
        <f>-PMT(Model!$E$40/12,(Model!$E$41*12)-(D304-1),E304)</f>
        <v>31279.600373497997</v>
      </c>
      <c r="G304" s="25">
        <f>E304*Model!$E$40/12</f>
        <v>6417.3992379082556</v>
      </c>
      <c r="H304" s="24">
        <f t="shared" si="8"/>
        <v>24862.201135589741</v>
      </c>
      <c r="I304" s="16">
        <f t="shared" si="9"/>
        <v>1900357.5702368869</v>
      </c>
      <c r="J304" s="127"/>
    </row>
    <row r="305" spans="2:10" x14ac:dyDescent="0.25">
      <c r="B305" s="6"/>
      <c r="C305" s="13"/>
      <c r="D305" s="82">
        <v>293</v>
      </c>
      <c r="E305" s="24">
        <f>I304+IF(Model!$E$32="Yes",(Model!$E$31=AmortSched!C305)*Model!$E$30*Model!$E$33,0)</f>
        <v>1900357.5702368869</v>
      </c>
      <c r="F305" s="24">
        <f>-PMT(Model!$E$40/12,(Model!$E$41*12)-(D305-1),E305)</f>
        <v>31279.600373497993</v>
      </c>
      <c r="G305" s="25">
        <f>E305*Model!$E$40/12</f>
        <v>6334.5252341229561</v>
      </c>
      <c r="H305" s="24">
        <f t="shared" si="8"/>
        <v>24945.075139375036</v>
      </c>
      <c r="I305" s="16">
        <f t="shared" si="9"/>
        <v>1875412.4950975119</v>
      </c>
      <c r="J305" s="127"/>
    </row>
    <row r="306" spans="2:10" x14ac:dyDescent="0.25">
      <c r="B306" s="6"/>
      <c r="C306" s="13"/>
      <c r="D306" s="82">
        <v>294</v>
      </c>
      <c r="E306" s="24">
        <f>I305+IF(Model!$E$32="Yes",(Model!$E$31=AmortSched!C306)*Model!$E$30*Model!$E$33,0)</f>
        <v>1875412.4950975119</v>
      </c>
      <c r="F306" s="24">
        <f>-PMT(Model!$E$40/12,(Model!$E$41*12)-(D306-1),E306)</f>
        <v>31279.600373497993</v>
      </c>
      <c r="G306" s="25">
        <f>E306*Model!$E$40/12</f>
        <v>6251.3749836583729</v>
      </c>
      <c r="H306" s="24">
        <f t="shared" si="8"/>
        <v>25028.225389839619</v>
      </c>
      <c r="I306" s="16">
        <f t="shared" si="9"/>
        <v>1850384.2697076723</v>
      </c>
      <c r="J306" s="127"/>
    </row>
    <row r="307" spans="2:10" x14ac:dyDescent="0.25">
      <c r="B307" s="6"/>
      <c r="C307" s="13"/>
      <c r="D307" s="82">
        <v>295</v>
      </c>
      <c r="E307" s="24">
        <f>I306+IF(Model!$E$32="Yes",(Model!$E$31=AmortSched!C307)*Model!$E$30*Model!$E$33,0)</f>
        <v>1850384.2697076723</v>
      </c>
      <c r="F307" s="24">
        <f>-PMT(Model!$E$40/12,(Model!$E$41*12)-(D307-1),E307)</f>
        <v>31279.600373497993</v>
      </c>
      <c r="G307" s="25">
        <f>E307*Model!$E$40/12</f>
        <v>6167.9475656922414</v>
      </c>
      <c r="H307" s="24">
        <f t="shared" si="8"/>
        <v>25111.652807805753</v>
      </c>
      <c r="I307" s="16">
        <f t="shared" si="9"/>
        <v>1825272.6168998666</v>
      </c>
      <c r="J307" s="127"/>
    </row>
    <row r="308" spans="2:10" x14ac:dyDescent="0.25">
      <c r="B308" s="6"/>
      <c r="C308" s="13"/>
      <c r="D308" s="82">
        <v>296</v>
      </c>
      <c r="E308" s="24">
        <f>I307+IF(Model!$E$32="Yes",(Model!$E$31=AmortSched!C308)*Model!$E$30*Model!$E$33,0)</f>
        <v>1825272.6168998666</v>
      </c>
      <c r="F308" s="24">
        <f>-PMT(Model!$E$40/12,(Model!$E$41*12)-(D308-1),E308)</f>
        <v>31279.600373497997</v>
      </c>
      <c r="G308" s="25">
        <f>E308*Model!$E$40/12</f>
        <v>6084.2420563328888</v>
      </c>
      <c r="H308" s="24">
        <f t="shared" si="8"/>
        <v>25195.358317165108</v>
      </c>
      <c r="I308" s="16">
        <f t="shared" si="9"/>
        <v>1800077.2585827014</v>
      </c>
      <c r="J308" s="127"/>
    </row>
    <row r="309" spans="2:10" x14ac:dyDescent="0.25">
      <c r="B309" s="6"/>
      <c r="C309" s="13"/>
      <c r="D309" s="82">
        <v>297</v>
      </c>
      <c r="E309" s="24">
        <f>I308+IF(Model!$E$32="Yes",(Model!$E$31=AmortSched!C309)*Model!$E$30*Model!$E$33,0)</f>
        <v>1800077.2585827014</v>
      </c>
      <c r="F309" s="24">
        <f>-PMT(Model!$E$40/12,(Model!$E$41*12)-(D309-1),E309)</f>
        <v>31279.600373497997</v>
      </c>
      <c r="G309" s="25">
        <f>E309*Model!$E$40/12</f>
        <v>6000.2575286090041</v>
      </c>
      <c r="H309" s="24">
        <f t="shared" si="8"/>
        <v>25279.342844888994</v>
      </c>
      <c r="I309" s="16">
        <f t="shared" si="9"/>
        <v>1774797.9157378124</v>
      </c>
      <c r="J309" s="127"/>
    </row>
    <row r="310" spans="2:10" x14ac:dyDescent="0.25">
      <c r="B310" s="6"/>
      <c r="C310" s="13"/>
      <c r="D310" s="82">
        <v>298</v>
      </c>
      <c r="E310" s="24">
        <f>I309+IF(Model!$E$32="Yes",(Model!$E$31=AmortSched!C310)*Model!$E$30*Model!$E$33,0)</f>
        <v>1774797.9157378124</v>
      </c>
      <c r="F310" s="24">
        <f>-PMT(Model!$E$40/12,(Model!$E$41*12)-(D310-1),E310)</f>
        <v>31279.600373497993</v>
      </c>
      <c r="G310" s="25">
        <f>E310*Model!$E$40/12</f>
        <v>5915.9930524593756</v>
      </c>
      <c r="H310" s="24">
        <f t="shared" si="8"/>
        <v>25363.607321038617</v>
      </c>
      <c r="I310" s="16">
        <f t="shared" si="9"/>
        <v>1749434.3084167738</v>
      </c>
      <c r="J310" s="127"/>
    </row>
    <row r="311" spans="2:10" x14ac:dyDescent="0.25">
      <c r="B311" s="6"/>
      <c r="C311" s="13"/>
      <c r="D311" s="82">
        <v>299</v>
      </c>
      <c r="E311" s="24">
        <f>I310+IF(Model!$E$32="Yes",(Model!$E$31=AmortSched!C311)*Model!$E$30*Model!$E$33,0)</f>
        <v>1749434.3084167738</v>
      </c>
      <c r="F311" s="24">
        <f>-PMT(Model!$E$40/12,(Model!$E$41*12)-(D311-1),E311)</f>
        <v>31279.600373497997</v>
      </c>
      <c r="G311" s="25">
        <f>E311*Model!$E$40/12</f>
        <v>5831.4476947225803</v>
      </c>
      <c r="H311" s="24">
        <f t="shared" si="8"/>
        <v>25448.152678775416</v>
      </c>
      <c r="I311" s="16">
        <f t="shared" si="9"/>
        <v>1723986.1557379984</v>
      </c>
      <c r="J311" s="127"/>
    </row>
    <row r="312" spans="2:10" x14ac:dyDescent="0.25">
      <c r="B312" s="6"/>
      <c r="C312" s="13"/>
      <c r="D312" s="82">
        <v>300</v>
      </c>
      <c r="E312" s="24">
        <f>I311+IF(Model!$E$32="Yes",(Model!$E$31=AmortSched!C312)*Model!$E$30*Model!$E$33,0)</f>
        <v>1723986.1557379984</v>
      </c>
      <c r="F312" s="24">
        <f>-PMT(Model!$E$40/12,(Model!$E$41*12)-(D312-1),E312)</f>
        <v>31279.600373497997</v>
      </c>
      <c r="G312" s="25">
        <f>E312*Model!$E$40/12</f>
        <v>5746.6205191266608</v>
      </c>
      <c r="H312" s="24">
        <f t="shared" si="8"/>
        <v>25532.979854371337</v>
      </c>
      <c r="I312" s="16">
        <f t="shared" si="9"/>
        <v>1698453.175883627</v>
      </c>
      <c r="J312" s="127"/>
    </row>
    <row r="313" spans="2:10" x14ac:dyDescent="0.25">
      <c r="B313" s="6"/>
      <c r="C313" s="13"/>
      <c r="D313" s="82">
        <v>301</v>
      </c>
      <c r="E313" s="24">
        <f>I312+IF(Model!$E$32="Yes",(Model!$E$31=AmortSched!C313)*Model!$E$30*Model!$E$33,0)</f>
        <v>1698453.175883627</v>
      </c>
      <c r="F313" s="24">
        <f>-PMT(Model!$E$40/12,(Model!$E$41*12)-(D313-1),E313)</f>
        <v>31279.600373497997</v>
      </c>
      <c r="G313" s="25">
        <f>E313*Model!$E$40/12</f>
        <v>5661.5105862787568</v>
      </c>
      <c r="H313" s="24">
        <f t="shared" si="8"/>
        <v>25618.08978721924</v>
      </c>
      <c r="I313" s="16">
        <f t="shared" si="9"/>
        <v>1672835.0860964078</v>
      </c>
      <c r="J313" s="127"/>
    </row>
    <row r="314" spans="2:10" x14ac:dyDescent="0.25">
      <c r="B314" s="6"/>
      <c r="C314" s="13"/>
      <c r="D314" s="82">
        <v>302</v>
      </c>
      <c r="E314" s="24">
        <f>I313+IF(Model!$E$32="Yes",(Model!$E$31=AmortSched!C314)*Model!$E$30*Model!$E$33,0)</f>
        <v>1672835.0860964078</v>
      </c>
      <c r="F314" s="24">
        <f>-PMT(Model!$E$40/12,(Model!$E$41*12)-(D314-1),E314)</f>
        <v>31279.600373498004</v>
      </c>
      <c r="G314" s="25">
        <f>E314*Model!$E$40/12</f>
        <v>5576.1169536546922</v>
      </c>
      <c r="H314" s="24">
        <f t="shared" si="8"/>
        <v>25703.483419843313</v>
      </c>
      <c r="I314" s="16">
        <f t="shared" si="9"/>
        <v>1647131.6026765646</v>
      </c>
      <c r="J314" s="127"/>
    </row>
    <row r="315" spans="2:10" x14ac:dyDescent="0.25">
      <c r="B315" s="6"/>
      <c r="C315" s="13"/>
      <c r="D315" s="82">
        <v>303</v>
      </c>
      <c r="E315" s="24">
        <f>I314+IF(Model!$E$32="Yes",(Model!$E$31=AmortSched!C315)*Model!$E$30*Model!$E$33,0)</f>
        <v>1647131.6026765646</v>
      </c>
      <c r="F315" s="24">
        <f>-PMT(Model!$E$40/12,(Model!$E$41*12)-(D315-1),E315)</f>
        <v>31279.600373497997</v>
      </c>
      <c r="G315" s="25">
        <f>E315*Model!$E$40/12</f>
        <v>5490.4386755885489</v>
      </c>
      <c r="H315" s="24">
        <f t="shared" si="8"/>
        <v>25789.161697909447</v>
      </c>
      <c r="I315" s="16">
        <f t="shared" si="9"/>
        <v>1621342.4409786551</v>
      </c>
      <c r="J315" s="127"/>
    </row>
    <row r="316" spans="2:10" x14ac:dyDescent="0.25">
      <c r="B316" s="6"/>
      <c r="C316" s="13"/>
      <c r="D316" s="82">
        <v>304</v>
      </c>
      <c r="E316" s="24">
        <f>I315+IF(Model!$E$32="Yes",(Model!$E$31=AmortSched!C316)*Model!$E$30*Model!$E$33,0)</f>
        <v>1621342.4409786551</v>
      </c>
      <c r="F316" s="24">
        <f>-PMT(Model!$E$40/12,(Model!$E$41*12)-(D316-1),E316)</f>
        <v>31279.600373497997</v>
      </c>
      <c r="G316" s="25">
        <f>E316*Model!$E$40/12</f>
        <v>5404.4748032621837</v>
      </c>
      <c r="H316" s="24">
        <f t="shared" si="8"/>
        <v>25875.125570235814</v>
      </c>
      <c r="I316" s="16">
        <f t="shared" si="9"/>
        <v>1595467.3154084194</v>
      </c>
      <c r="J316" s="127"/>
    </row>
    <row r="317" spans="2:10" x14ac:dyDescent="0.25">
      <c r="B317" s="6"/>
      <c r="C317" s="13"/>
      <c r="D317" s="82">
        <v>305</v>
      </c>
      <c r="E317" s="24">
        <f>I316+IF(Model!$E$32="Yes",(Model!$E$31=AmortSched!C317)*Model!$E$30*Model!$E$33,0)</f>
        <v>1595467.3154084194</v>
      </c>
      <c r="F317" s="24">
        <f>-PMT(Model!$E$40/12,(Model!$E$41*12)-(D317-1),E317)</f>
        <v>31279.600373498004</v>
      </c>
      <c r="G317" s="25">
        <f>E317*Model!$E$40/12</f>
        <v>5318.2243846947313</v>
      </c>
      <c r="H317" s="24">
        <f t="shared" si="8"/>
        <v>25961.375988803273</v>
      </c>
      <c r="I317" s="16">
        <f t="shared" si="9"/>
        <v>1569505.939419616</v>
      </c>
      <c r="J317" s="127"/>
    </row>
    <row r="318" spans="2:10" x14ac:dyDescent="0.25">
      <c r="B318" s="6"/>
      <c r="C318" s="13"/>
      <c r="D318" s="82">
        <v>306</v>
      </c>
      <c r="E318" s="24">
        <f>I317+IF(Model!$E$32="Yes",(Model!$E$31=AmortSched!C318)*Model!$E$30*Model!$E$33,0)</f>
        <v>1569505.939419616</v>
      </c>
      <c r="F318" s="24">
        <f>-PMT(Model!$E$40/12,(Model!$E$41*12)-(D318-1),E318)</f>
        <v>31279.600373497997</v>
      </c>
      <c r="G318" s="25">
        <f>E318*Model!$E$40/12</f>
        <v>5231.6864647320535</v>
      </c>
      <c r="H318" s="24">
        <f t="shared" si="8"/>
        <v>26047.913908765942</v>
      </c>
      <c r="I318" s="16">
        <f t="shared" si="9"/>
        <v>1543458.0255108501</v>
      </c>
      <c r="J318" s="127"/>
    </row>
    <row r="319" spans="2:10" x14ac:dyDescent="0.25">
      <c r="B319" s="6"/>
      <c r="C319" s="13"/>
      <c r="D319" s="82">
        <v>307</v>
      </c>
      <c r="E319" s="24">
        <f>I318+IF(Model!$E$32="Yes",(Model!$E$31=AmortSched!C319)*Model!$E$30*Model!$E$33,0)</f>
        <v>1543458.0255108501</v>
      </c>
      <c r="F319" s="24">
        <f>-PMT(Model!$E$40/12,(Model!$E$41*12)-(D319-1),E319)</f>
        <v>31279.600373498004</v>
      </c>
      <c r="G319" s="25">
        <f>E319*Model!$E$40/12</f>
        <v>5144.8600850361672</v>
      </c>
      <c r="H319" s="24">
        <f t="shared" si="8"/>
        <v>26134.740288461835</v>
      </c>
      <c r="I319" s="16">
        <f t="shared" si="9"/>
        <v>1517323.2852223883</v>
      </c>
      <c r="J319" s="127"/>
    </row>
    <row r="320" spans="2:10" x14ac:dyDescent="0.25">
      <c r="B320" s="6"/>
      <c r="C320" s="13"/>
      <c r="D320" s="82">
        <v>308</v>
      </c>
      <c r="E320" s="24">
        <f>I319+IF(Model!$E$32="Yes",(Model!$E$31=AmortSched!C320)*Model!$E$30*Model!$E$33,0)</f>
        <v>1517323.2852223883</v>
      </c>
      <c r="F320" s="24">
        <f>-PMT(Model!$E$40/12,(Model!$E$41*12)-(D320-1),E320)</f>
        <v>31279.600373497997</v>
      </c>
      <c r="G320" s="25">
        <f>E320*Model!$E$40/12</f>
        <v>5057.744284074628</v>
      </c>
      <c r="H320" s="24">
        <f t="shared" si="8"/>
        <v>26221.856089423367</v>
      </c>
      <c r="I320" s="16">
        <f t="shared" si="9"/>
        <v>1491101.4291329649</v>
      </c>
      <c r="J320" s="127"/>
    </row>
    <row r="321" spans="2:10" x14ac:dyDescent="0.25">
      <c r="B321" s="6"/>
      <c r="C321" s="13"/>
      <c r="D321" s="82">
        <v>309</v>
      </c>
      <c r="E321" s="24">
        <f>I320+IF(Model!$E$32="Yes",(Model!$E$31=AmortSched!C321)*Model!$E$30*Model!$E$33,0)</f>
        <v>1491101.4291329649</v>
      </c>
      <c r="F321" s="24">
        <f>-PMT(Model!$E$40/12,(Model!$E$41*12)-(D321-1),E321)</f>
        <v>31279.600373497997</v>
      </c>
      <c r="G321" s="25">
        <f>E321*Model!$E$40/12</f>
        <v>4970.3380971098832</v>
      </c>
      <c r="H321" s="24">
        <f t="shared" si="8"/>
        <v>26309.262276388115</v>
      </c>
      <c r="I321" s="16">
        <f t="shared" si="9"/>
        <v>1464792.1668565769</v>
      </c>
      <c r="J321" s="127"/>
    </row>
    <row r="322" spans="2:10" x14ac:dyDescent="0.25">
      <c r="B322" s="6"/>
      <c r="C322" s="13"/>
      <c r="D322" s="82">
        <v>310</v>
      </c>
      <c r="E322" s="24">
        <f>I321+IF(Model!$E$32="Yes",(Model!$E$31=AmortSched!C322)*Model!$E$30*Model!$E$33,0)</f>
        <v>1464792.1668565769</v>
      </c>
      <c r="F322" s="24">
        <f>-PMT(Model!$E$40/12,(Model!$E$41*12)-(D322-1),E322)</f>
        <v>31279.600373497997</v>
      </c>
      <c r="G322" s="25">
        <f>E322*Model!$E$40/12</f>
        <v>4882.6405561885904</v>
      </c>
      <c r="H322" s="24">
        <f t="shared" si="8"/>
        <v>26396.959817309405</v>
      </c>
      <c r="I322" s="16">
        <f t="shared" si="9"/>
        <v>1438395.2070392675</v>
      </c>
      <c r="J322" s="127"/>
    </row>
    <row r="323" spans="2:10" x14ac:dyDescent="0.25">
      <c r="B323" s="6"/>
      <c r="C323" s="13"/>
      <c r="D323" s="82">
        <v>311</v>
      </c>
      <c r="E323" s="24">
        <f>I322+IF(Model!$E$32="Yes",(Model!$E$31=AmortSched!C323)*Model!$E$30*Model!$E$33,0)</f>
        <v>1438395.2070392675</v>
      </c>
      <c r="F323" s="24">
        <f>-PMT(Model!$E$40/12,(Model!$E$41*12)-(D323-1),E323)</f>
        <v>31279.600373497997</v>
      </c>
      <c r="G323" s="25">
        <f>E323*Model!$E$40/12</f>
        <v>4794.6506901308921</v>
      </c>
      <c r="H323" s="24">
        <f t="shared" si="8"/>
        <v>26484.949683367104</v>
      </c>
      <c r="I323" s="16">
        <f t="shared" si="9"/>
        <v>1411910.2573559005</v>
      </c>
      <c r="J323" s="127"/>
    </row>
    <row r="324" spans="2:10" x14ac:dyDescent="0.25">
      <c r="B324" s="6"/>
      <c r="C324" s="13"/>
      <c r="D324" s="82">
        <v>312</v>
      </c>
      <c r="E324" s="24">
        <f>I323+IF(Model!$E$32="Yes",(Model!$E$31=AmortSched!C324)*Model!$E$30*Model!$E$33,0)</f>
        <v>1411910.2573559005</v>
      </c>
      <c r="F324" s="24">
        <f>-PMT(Model!$E$40/12,(Model!$E$41*12)-(D324-1),E324)</f>
        <v>31279.600373498004</v>
      </c>
      <c r="G324" s="25">
        <f>E324*Model!$E$40/12</f>
        <v>4706.3675245196682</v>
      </c>
      <c r="H324" s="24">
        <f t="shared" si="8"/>
        <v>26573.232848978336</v>
      </c>
      <c r="I324" s="16">
        <f t="shared" si="9"/>
        <v>1385337.0245069221</v>
      </c>
      <c r="J324" s="127"/>
    </row>
    <row r="325" spans="2:10" x14ac:dyDescent="0.25">
      <c r="B325" s="6"/>
      <c r="C325" s="13"/>
      <c r="D325" s="82">
        <v>313</v>
      </c>
      <c r="E325" s="24">
        <f>I324+IF(Model!$E$32="Yes",(Model!$E$31=AmortSched!C325)*Model!$E$30*Model!$E$33,0)</f>
        <v>1385337.0245069221</v>
      </c>
      <c r="F325" s="24">
        <f>-PMT(Model!$E$40/12,(Model!$E$41*12)-(D325-1),E325)</f>
        <v>31279.600373498004</v>
      </c>
      <c r="G325" s="25">
        <f>E325*Model!$E$40/12</f>
        <v>4617.7900816897409</v>
      </c>
      <c r="H325" s="24">
        <f t="shared" si="8"/>
        <v>26661.810291808262</v>
      </c>
      <c r="I325" s="16">
        <f t="shared" si="9"/>
        <v>1358675.2142151138</v>
      </c>
      <c r="J325" s="127"/>
    </row>
    <row r="326" spans="2:10" x14ac:dyDescent="0.25">
      <c r="B326" s="6"/>
      <c r="C326" s="13"/>
      <c r="D326" s="82">
        <v>314</v>
      </c>
      <c r="E326" s="24">
        <f>I325+IF(Model!$E$32="Yes",(Model!$E$31=AmortSched!C326)*Model!$E$30*Model!$E$33,0)</f>
        <v>1358675.2142151138</v>
      </c>
      <c r="F326" s="24">
        <f>-PMT(Model!$E$40/12,(Model!$E$41*12)-(D326-1),E326)</f>
        <v>31279.600373497997</v>
      </c>
      <c r="G326" s="25">
        <f>E326*Model!$E$40/12</f>
        <v>4528.9173807170455</v>
      </c>
      <c r="H326" s="24">
        <f t="shared" si="8"/>
        <v>26750.682992780952</v>
      </c>
      <c r="I326" s="16">
        <f t="shared" si="9"/>
        <v>1331924.5312223327</v>
      </c>
      <c r="J326" s="127"/>
    </row>
    <row r="327" spans="2:10" x14ac:dyDescent="0.25">
      <c r="B327" s="6"/>
      <c r="C327" s="13"/>
      <c r="D327" s="82">
        <v>315</v>
      </c>
      <c r="E327" s="24">
        <f>I326+IF(Model!$E$32="Yes",(Model!$E$31=AmortSched!C327)*Model!$E$30*Model!$E$33,0)</f>
        <v>1331924.5312223327</v>
      </c>
      <c r="F327" s="24">
        <f>-PMT(Model!$E$40/12,(Model!$E$41*12)-(D327-1),E327)</f>
        <v>31279.600373497997</v>
      </c>
      <c r="G327" s="25">
        <f>E327*Model!$E$40/12</f>
        <v>4439.7484374077758</v>
      </c>
      <c r="H327" s="24">
        <f t="shared" si="8"/>
        <v>26839.851936090221</v>
      </c>
      <c r="I327" s="16">
        <f t="shared" si="9"/>
        <v>1305084.6792862425</v>
      </c>
      <c r="J327" s="127"/>
    </row>
    <row r="328" spans="2:10" x14ac:dyDescent="0.25">
      <c r="B328" s="6"/>
      <c r="C328" s="13"/>
      <c r="D328" s="82">
        <v>316</v>
      </c>
      <c r="E328" s="24">
        <f>I327+IF(Model!$E$32="Yes",(Model!$E$31=AmortSched!C328)*Model!$E$30*Model!$E$33,0)</f>
        <v>1305084.6792862425</v>
      </c>
      <c r="F328" s="24">
        <f>-PMT(Model!$E$40/12,(Model!$E$41*12)-(D328-1),E328)</f>
        <v>31279.600373497997</v>
      </c>
      <c r="G328" s="25">
        <f>E328*Model!$E$40/12</f>
        <v>4350.2822642874753</v>
      </c>
      <c r="H328" s="24">
        <f t="shared" si="8"/>
        <v>26929.318109210522</v>
      </c>
      <c r="I328" s="16">
        <f t="shared" si="9"/>
        <v>1278155.3611770319</v>
      </c>
      <c r="J328" s="127"/>
    </row>
    <row r="329" spans="2:10" x14ac:dyDescent="0.25">
      <c r="B329" s="6"/>
      <c r="C329" s="13"/>
      <c r="D329" s="82">
        <v>317</v>
      </c>
      <c r="E329" s="24">
        <f>I328+IF(Model!$E$32="Yes",(Model!$E$31=AmortSched!C329)*Model!$E$30*Model!$E$33,0)</f>
        <v>1278155.3611770319</v>
      </c>
      <c r="F329" s="24">
        <f>-PMT(Model!$E$40/12,(Model!$E$41*12)-(D329-1),E329)</f>
        <v>31279.600373497993</v>
      </c>
      <c r="G329" s="25">
        <f>E329*Model!$E$40/12</f>
        <v>4260.5178705901062</v>
      </c>
      <c r="H329" s="24">
        <f t="shared" si="8"/>
        <v>27019.082502907888</v>
      </c>
      <c r="I329" s="16">
        <f t="shared" si="9"/>
        <v>1251136.278674124</v>
      </c>
      <c r="J329" s="127"/>
    </row>
    <row r="330" spans="2:10" x14ac:dyDescent="0.25">
      <c r="B330" s="6"/>
      <c r="C330" s="13"/>
      <c r="D330" s="82">
        <v>318</v>
      </c>
      <c r="E330" s="24">
        <f>I329+IF(Model!$E$32="Yes",(Model!$E$31=AmortSched!C330)*Model!$E$30*Model!$E$33,0)</f>
        <v>1251136.278674124</v>
      </c>
      <c r="F330" s="24">
        <f>-PMT(Model!$E$40/12,(Model!$E$41*12)-(D330-1),E330)</f>
        <v>31279.600373497997</v>
      </c>
      <c r="G330" s="25">
        <f>E330*Model!$E$40/12</f>
        <v>4170.4542622470808</v>
      </c>
      <c r="H330" s="24">
        <f t="shared" si="8"/>
        <v>27109.146111250917</v>
      </c>
      <c r="I330" s="16">
        <f t="shared" si="9"/>
        <v>1224027.1325628732</v>
      </c>
      <c r="J330" s="127"/>
    </row>
    <row r="331" spans="2:10" x14ac:dyDescent="0.25">
      <c r="B331" s="6"/>
      <c r="C331" s="13"/>
      <c r="D331" s="82">
        <v>319</v>
      </c>
      <c r="E331" s="24">
        <f>I330+IF(Model!$E$32="Yes",(Model!$E$31=AmortSched!C331)*Model!$E$30*Model!$E$33,0)</f>
        <v>1224027.1325628732</v>
      </c>
      <c r="F331" s="24">
        <f>-PMT(Model!$E$40/12,(Model!$E$41*12)-(D331-1),E331)</f>
        <v>31279.600373498004</v>
      </c>
      <c r="G331" s="25">
        <f>E331*Model!$E$40/12</f>
        <v>4080.0904418762439</v>
      </c>
      <c r="H331" s="24">
        <f t="shared" si="8"/>
        <v>27199.50993162176</v>
      </c>
      <c r="I331" s="16">
        <f t="shared" si="9"/>
        <v>1196827.6226312513</v>
      </c>
      <c r="J331" s="127"/>
    </row>
    <row r="332" spans="2:10" x14ac:dyDescent="0.25">
      <c r="B332" s="6"/>
      <c r="C332" s="13"/>
      <c r="D332" s="82">
        <v>320</v>
      </c>
      <c r="E332" s="24">
        <f>I331+IF(Model!$E$32="Yes",(Model!$E$31=AmortSched!C332)*Model!$E$30*Model!$E$33,0)</f>
        <v>1196827.6226312513</v>
      </c>
      <c r="F332" s="24">
        <f>-PMT(Model!$E$40/12,(Model!$E$41*12)-(D332-1),E332)</f>
        <v>31279.600373497997</v>
      </c>
      <c r="G332" s="25">
        <f>E332*Model!$E$40/12</f>
        <v>3989.4254087708377</v>
      </c>
      <c r="H332" s="24">
        <f t="shared" si="8"/>
        <v>27290.174964727157</v>
      </c>
      <c r="I332" s="16">
        <f t="shared" si="9"/>
        <v>1169537.4476665242</v>
      </c>
      <c r="J332" s="127"/>
    </row>
    <row r="333" spans="2:10" x14ac:dyDescent="0.25">
      <c r="B333" s="6"/>
      <c r="C333" s="13"/>
      <c r="D333" s="82">
        <v>321</v>
      </c>
      <c r="E333" s="24">
        <f>I332+IF(Model!$E$32="Yes",(Model!$E$31=AmortSched!C333)*Model!$E$30*Model!$E$33,0)</f>
        <v>1169537.4476665242</v>
      </c>
      <c r="F333" s="24">
        <f>-PMT(Model!$E$40/12,(Model!$E$41*12)-(D333-1),E333)</f>
        <v>31279.600373497997</v>
      </c>
      <c r="G333" s="25">
        <f>E333*Model!$E$40/12</f>
        <v>3898.4581588884139</v>
      </c>
      <c r="H333" s="24">
        <f t="shared" si="8"/>
        <v>27381.142214609583</v>
      </c>
      <c r="I333" s="16">
        <f t="shared" si="9"/>
        <v>1142156.3054519147</v>
      </c>
      <c r="J333" s="127"/>
    </row>
    <row r="334" spans="2:10" x14ac:dyDescent="0.25">
      <c r="B334" s="6"/>
      <c r="C334" s="13"/>
      <c r="D334" s="82">
        <v>322</v>
      </c>
      <c r="E334" s="24">
        <f>I333+IF(Model!$E$32="Yes",(Model!$E$31=AmortSched!C334)*Model!$E$30*Model!$E$33,0)</f>
        <v>1142156.3054519147</v>
      </c>
      <c r="F334" s="24">
        <f>-PMT(Model!$E$40/12,(Model!$E$41*12)-(D334-1),E334)</f>
        <v>31279.600373497997</v>
      </c>
      <c r="G334" s="25">
        <f>E334*Model!$E$40/12</f>
        <v>3807.1876848397155</v>
      </c>
      <c r="H334" s="24">
        <f t="shared" si="8"/>
        <v>27472.412688658282</v>
      </c>
      <c r="I334" s="16">
        <f t="shared" si="9"/>
        <v>1114683.8927632563</v>
      </c>
      <c r="J334" s="127"/>
    </row>
    <row r="335" spans="2:10" x14ac:dyDescent="0.25">
      <c r="B335" s="6"/>
      <c r="C335" s="13"/>
      <c r="D335" s="82">
        <v>323</v>
      </c>
      <c r="E335" s="24">
        <f>I334+IF(Model!$E$32="Yes",(Model!$E$31=AmortSched!C335)*Model!$E$30*Model!$E$33,0)</f>
        <v>1114683.8927632563</v>
      </c>
      <c r="F335" s="24">
        <f>-PMT(Model!$E$40/12,(Model!$E$41*12)-(D335-1),E335)</f>
        <v>31279.600373497997</v>
      </c>
      <c r="G335" s="25">
        <f>E335*Model!$E$40/12</f>
        <v>3715.612975877521</v>
      </c>
      <c r="H335" s="24">
        <f t="shared" ref="H335:H372" si="10">F335-G335</f>
        <v>27563.987397620476</v>
      </c>
      <c r="I335" s="16">
        <f t="shared" ref="I335:I372" si="11">E335-H335</f>
        <v>1087119.9053656359</v>
      </c>
      <c r="J335" s="127"/>
    </row>
    <row r="336" spans="2:10" x14ac:dyDescent="0.25">
      <c r="B336" s="6"/>
      <c r="C336" s="13"/>
      <c r="D336" s="82">
        <v>324</v>
      </c>
      <c r="E336" s="24">
        <f>I335+IF(Model!$E$32="Yes",(Model!$E$31=AmortSched!C336)*Model!$E$30*Model!$E$33,0)</f>
        <v>1087119.9053656359</v>
      </c>
      <c r="F336" s="24">
        <f>-PMT(Model!$E$40/12,(Model!$E$41*12)-(D336-1),E336)</f>
        <v>31279.600373497997</v>
      </c>
      <c r="G336" s="25">
        <f>E336*Model!$E$40/12</f>
        <v>3623.7330178854531</v>
      </c>
      <c r="H336" s="24">
        <f t="shared" si="10"/>
        <v>27655.867355612543</v>
      </c>
      <c r="I336" s="16">
        <f t="shared" si="11"/>
        <v>1059464.0380100233</v>
      </c>
      <c r="J336" s="127"/>
    </row>
    <row r="337" spans="2:10" x14ac:dyDescent="0.25">
      <c r="B337" s="6"/>
      <c r="C337" s="13"/>
      <c r="D337" s="82">
        <v>325</v>
      </c>
      <c r="E337" s="24">
        <f>I336+IF(Model!$E$32="Yes",(Model!$E$31=AmortSched!C337)*Model!$E$30*Model!$E$33,0)</f>
        <v>1059464.0380100233</v>
      </c>
      <c r="F337" s="24">
        <f>-PMT(Model!$E$40/12,(Model!$E$41*12)-(D337-1),E337)</f>
        <v>31279.600373497993</v>
      </c>
      <c r="G337" s="25">
        <f>E337*Model!$E$40/12</f>
        <v>3531.5467933667442</v>
      </c>
      <c r="H337" s="24">
        <f t="shared" si="10"/>
        <v>27748.053580131251</v>
      </c>
      <c r="I337" s="16">
        <f t="shared" si="11"/>
        <v>1031715.984429892</v>
      </c>
      <c r="J337" s="127"/>
    </row>
    <row r="338" spans="2:10" x14ac:dyDescent="0.25">
      <c r="B338" s="6"/>
      <c r="C338" s="13"/>
      <c r="D338" s="82">
        <v>326</v>
      </c>
      <c r="E338" s="24">
        <f>I337+IF(Model!$E$32="Yes",(Model!$E$31=AmortSched!C338)*Model!$E$30*Model!$E$33,0)</f>
        <v>1031715.984429892</v>
      </c>
      <c r="F338" s="24">
        <f>-PMT(Model!$E$40/12,(Model!$E$41*12)-(D338-1),E338)</f>
        <v>31279.600373497993</v>
      </c>
      <c r="G338" s="25">
        <f>E338*Model!$E$40/12</f>
        <v>3439.0532814329731</v>
      </c>
      <c r="H338" s="24">
        <f t="shared" si="10"/>
        <v>27840.547092065019</v>
      </c>
      <c r="I338" s="16">
        <f t="shared" si="11"/>
        <v>1003875.4373378271</v>
      </c>
      <c r="J338" s="127"/>
    </row>
    <row r="339" spans="2:10" x14ac:dyDescent="0.25">
      <c r="B339" s="6"/>
      <c r="C339" s="13"/>
      <c r="D339" s="82">
        <v>327</v>
      </c>
      <c r="E339" s="24">
        <f>I338+IF(Model!$E$32="Yes",(Model!$E$31=AmortSched!C339)*Model!$E$30*Model!$E$33,0)</f>
        <v>1003875.4373378271</v>
      </c>
      <c r="F339" s="24">
        <f>-PMT(Model!$E$40/12,(Model!$E$41*12)-(D339-1),E339)</f>
        <v>31279.600373497997</v>
      </c>
      <c r="G339" s="25">
        <f>E339*Model!$E$40/12</f>
        <v>3346.2514577927573</v>
      </c>
      <c r="H339" s="24">
        <f t="shared" si="10"/>
        <v>27933.348915705239</v>
      </c>
      <c r="I339" s="16">
        <f t="shared" si="11"/>
        <v>975942.08842212183</v>
      </c>
      <c r="J339" s="127"/>
    </row>
    <row r="340" spans="2:10" x14ac:dyDescent="0.25">
      <c r="B340" s="6"/>
      <c r="C340" s="13"/>
      <c r="D340" s="82">
        <v>328</v>
      </c>
      <c r="E340" s="24">
        <f>I339+IF(Model!$E$32="Yes",(Model!$E$31=AmortSched!C340)*Model!$E$30*Model!$E$33,0)</f>
        <v>975942.08842212183</v>
      </c>
      <c r="F340" s="24">
        <f>-PMT(Model!$E$40/12,(Model!$E$41*12)-(D340-1),E340)</f>
        <v>31279.600373497997</v>
      </c>
      <c r="G340" s="25">
        <f>E340*Model!$E$40/12</f>
        <v>3253.1402947404063</v>
      </c>
      <c r="H340" s="24">
        <f t="shared" si="10"/>
        <v>28026.460078757591</v>
      </c>
      <c r="I340" s="16">
        <f t="shared" si="11"/>
        <v>947915.62834336422</v>
      </c>
      <c r="J340" s="127"/>
    </row>
    <row r="341" spans="2:10" x14ac:dyDescent="0.25">
      <c r="B341" s="6"/>
      <c r="C341" s="13"/>
      <c r="D341" s="82">
        <v>329</v>
      </c>
      <c r="E341" s="24">
        <f>I340+IF(Model!$E$32="Yes",(Model!$E$31=AmortSched!C341)*Model!$E$30*Model!$E$33,0)</f>
        <v>947915.62834336422</v>
      </c>
      <c r="F341" s="24">
        <f>-PMT(Model!$E$40/12,(Model!$E$41*12)-(D341-1),E341)</f>
        <v>31279.600373497997</v>
      </c>
      <c r="G341" s="25">
        <f>E341*Model!$E$40/12</f>
        <v>3159.7187611445474</v>
      </c>
      <c r="H341" s="24">
        <f t="shared" si="10"/>
        <v>28119.881612353449</v>
      </c>
      <c r="I341" s="16">
        <f t="shared" si="11"/>
        <v>919795.74673101073</v>
      </c>
      <c r="J341" s="127"/>
    </row>
    <row r="342" spans="2:10" x14ac:dyDescent="0.25">
      <c r="B342" s="6"/>
      <c r="C342" s="13"/>
      <c r="D342" s="82">
        <v>330</v>
      </c>
      <c r="E342" s="24">
        <f>I341+IF(Model!$E$32="Yes",(Model!$E$31=AmortSched!C342)*Model!$E$30*Model!$E$33,0)</f>
        <v>919795.74673101073</v>
      </c>
      <c r="F342" s="24">
        <f>-PMT(Model!$E$40/12,(Model!$E$41*12)-(D342-1),E342)</f>
        <v>31279.600373497997</v>
      </c>
      <c r="G342" s="25">
        <f>E342*Model!$E$40/12</f>
        <v>3065.9858224367022</v>
      </c>
      <c r="H342" s="24">
        <f t="shared" si="10"/>
        <v>28213.614551061295</v>
      </c>
      <c r="I342" s="16">
        <f t="shared" si="11"/>
        <v>891582.13217994943</v>
      </c>
      <c r="J342" s="127"/>
    </row>
    <row r="343" spans="2:10" x14ac:dyDescent="0.25">
      <c r="B343" s="6"/>
      <c r="C343" s="13"/>
      <c r="D343" s="82">
        <v>331</v>
      </c>
      <c r="E343" s="24">
        <f>I342+IF(Model!$E$32="Yes",(Model!$E$31=AmortSched!C343)*Model!$E$30*Model!$E$33,0)</f>
        <v>891582.13217994943</v>
      </c>
      <c r="F343" s="24">
        <f>-PMT(Model!$E$40/12,(Model!$E$41*12)-(D343-1),E343)</f>
        <v>31279.600373497993</v>
      </c>
      <c r="G343" s="25">
        <f>E343*Model!$E$40/12</f>
        <v>2971.9404405998316</v>
      </c>
      <c r="H343" s="24">
        <f t="shared" si="10"/>
        <v>28307.659932898161</v>
      </c>
      <c r="I343" s="16">
        <f t="shared" si="11"/>
        <v>863274.47224705131</v>
      </c>
      <c r="J343" s="127"/>
    </row>
    <row r="344" spans="2:10" x14ac:dyDescent="0.25">
      <c r="B344" s="6"/>
      <c r="C344" s="13"/>
      <c r="D344" s="82">
        <v>332</v>
      </c>
      <c r="E344" s="24">
        <f>I343+IF(Model!$E$32="Yes",(Model!$E$31=AmortSched!C344)*Model!$E$30*Model!$E$33,0)</f>
        <v>863274.47224705131</v>
      </c>
      <c r="F344" s="24">
        <f>-PMT(Model!$E$40/12,(Model!$E$41*12)-(D344-1),E344)</f>
        <v>31279.600373497997</v>
      </c>
      <c r="G344" s="25">
        <f>E344*Model!$E$40/12</f>
        <v>2877.5815741568381</v>
      </c>
      <c r="H344" s="24">
        <f t="shared" si="10"/>
        <v>28402.01879934116</v>
      </c>
      <c r="I344" s="16">
        <f t="shared" si="11"/>
        <v>834872.45344771014</v>
      </c>
      <c r="J344" s="127"/>
    </row>
    <row r="345" spans="2:10" x14ac:dyDescent="0.25">
      <c r="B345" s="6"/>
      <c r="C345" s="13"/>
      <c r="D345" s="82">
        <v>333</v>
      </c>
      <c r="E345" s="24">
        <f>I344+IF(Model!$E$32="Yes",(Model!$E$31=AmortSched!C345)*Model!$E$30*Model!$E$33,0)</f>
        <v>834872.45344771014</v>
      </c>
      <c r="F345" s="24">
        <f>-PMT(Model!$E$40/12,(Model!$E$41*12)-(D345-1),E345)</f>
        <v>31279.600373497997</v>
      </c>
      <c r="G345" s="25">
        <f>E345*Model!$E$40/12</f>
        <v>2782.9081781590339</v>
      </c>
      <c r="H345" s="24">
        <f t="shared" si="10"/>
        <v>28496.692195338961</v>
      </c>
      <c r="I345" s="16">
        <f t="shared" si="11"/>
        <v>806375.76125237113</v>
      </c>
      <c r="J345" s="127"/>
    </row>
    <row r="346" spans="2:10" x14ac:dyDescent="0.25">
      <c r="B346" s="6"/>
      <c r="C346" s="13"/>
      <c r="D346" s="82">
        <v>334</v>
      </c>
      <c r="E346" s="24">
        <f>I345+IF(Model!$E$32="Yes",(Model!$E$31=AmortSched!C346)*Model!$E$30*Model!$E$33,0)</f>
        <v>806375.76125237113</v>
      </c>
      <c r="F346" s="24">
        <f>-PMT(Model!$E$40/12,(Model!$E$41*12)-(D346-1),E346)</f>
        <v>31279.600373497997</v>
      </c>
      <c r="G346" s="25">
        <f>E346*Model!$E$40/12</f>
        <v>2687.9192041745705</v>
      </c>
      <c r="H346" s="24">
        <f t="shared" si="10"/>
        <v>28591.681169323427</v>
      </c>
      <c r="I346" s="16">
        <f t="shared" si="11"/>
        <v>777784.08008304774</v>
      </c>
      <c r="J346" s="127"/>
    </row>
    <row r="347" spans="2:10" x14ac:dyDescent="0.25">
      <c r="B347" s="6"/>
      <c r="C347" s="13"/>
      <c r="D347" s="82">
        <v>335</v>
      </c>
      <c r="E347" s="24">
        <f>I346+IF(Model!$E$32="Yes",(Model!$E$31=AmortSched!C347)*Model!$E$30*Model!$E$33,0)</f>
        <v>777784.08008304774</v>
      </c>
      <c r="F347" s="24">
        <f>-PMT(Model!$E$40/12,(Model!$E$41*12)-(D347-1),E347)</f>
        <v>31279.600373497993</v>
      </c>
      <c r="G347" s="25">
        <f>E347*Model!$E$40/12</f>
        <v>2592.6136002768258</v>
      </c>
      <c r="H347" s="24">
        <f t="shared" si="10"/>
        <v>28686.986773221168</v>
      </c>
      <c r="I347" s="16">
        <f t="shared" si="11"/>
        <v>749097.09330982657</v>
      </c>
      <c r="J347" s="127"/>
    </row>
    <row r="348" spans="2:10" x14ac:dyDescent="0.25">
      <c r="B348" s="6"/>
      <c r="C348" s="13"/>
      <c r="D348" s="82">
        <v>336</v>
      </c>
      <c r="E348" s="24">
        <f>I347+IF(Model!$E$32="Yes",(Model!$E$31=AmortSched!C348)*Model!$E$30*Model!$E$33,0)</f>
        <v>749097.09330982657</v>
      </c>
      <c r="F348" s="24">
        <f>-PMT(Model!$E$40/12,(Model!$E$41*12)-(D348-1),E348)</f>
        <v>31279.600373497993</v>
      </c>
      <c r="G348" s="25">
        <f>E348*Model!$E$40/12</f>
        <v>2496.9903110327555</v>
      </c>
      <c r="H348" s="24">
        <f t="shared" si="10"/>
        <v>28782.610062465239</v>
      </c>
      <c r="I348" s="16">
        <f t="shared" si="11"/>
        <v>720314.48324736138</v>
      </c>
      <c r="J348" s="127"/>
    </row>
    <row r="349" spans="2:10" x14ac:dyDescent="0.25">
      <c r="B349" s="6"/>
      <c r="C349" s="13"/>
      <c r="D349" s="82">
        <v>337</v>
      </c>
      <c r="E349" s="24">
        <f>I348+IF(Model!$E$32="Yes",(Model!$E$31=AmortSched!C349)*Model!$E$30*Model!$E$33,0)</f>
        <v>720314.48324736138</v>
      </c>
      <c r="F349" s="24">
        <f>-PMT(Model!$E$40/12,(Model!$E$41*12)-(D349-1),E349)</f>
        <v>31279.600373497997</v>
      </c>
      <c r="G349" s="25">
        <f>E349*Model!$E$40/12</f>
        <v>2401.0482774912048</v>
      </c>
      <c r="H349" s="24">
        <f t="shared" si="10"/>
        <v>28878.552096006792</v>
      </c>
      <c r="I349" s="16">
        <f t="shared" si="11"/>
        <v>691435.93115135457</v>
      </c>
      <c r="J349" s="127"/>
    </row>
    <row r="350" spans="2:10" x14ac:dyDescent="0.25">
      <c r="B350" s="6"/>
      <c r="C350" s="13"/>
      <c r="D350" s="82">
        <v>338</v>
      </c>
      <c r="E350" s="24">
        <f>I349+IF(Model!$E$32="Yes",(Model!$E$31=AmortSched!C350)*Model!$E$30*Model!$E$33,0)</f>
        <v>691435.93115135457</v>
      </c>
      <c r="F350" s="24">
        <f>-PMT(Model!$E$40/12,(Model!$E$41*12)-(D350-1),E350)</f>
        <v>31279.600373497997</v>
      </c>
      <c r="G350" s="25">
        <f>E350*Model!$E$40/12</f>
        <v>2304.7864371711817</v>
      </c>
      <c r="H350" s="24">
        <f t="shared" si="10"/>
        <v>28974.813936326816</v>
      </c>
      <c r="I350" s="16">
        <f t="shared" si="11"/>
        <v>662461.1172150278</v>
      </c>
      <c r="J350" s="127"/>
    </row>
    <row r="351" spans="2:10" x14ac:dyDescent="0.25">
      <c r="B351" s="6"/>
      <c r="C351" s="13"/>
      <c r="D351" s="82">
        <v>339</v>
      </c>
      <c r="E351" s="24">
        <f>I350+IF(Model!$E$32="Yes",(Model!$E$31=AmortSched!C351)*Model!$E$30*Model!$E$33,0)</f>
        <v>662461.1172150278</v>
      </c>
      <c r="F351" s="24">
        <f>-PMT(Model!$E$40/12,(Model!$E$41*12)-(D351-1),E351)</f>
        <v>31279.600373497997</v>
      </c>
      <c r="G351" s="25">
        <f>E351*Model!$E$40/12</f>
        <v>2208.2037240500927</v>
      </c>
      <c r="H351" s="24">
        <f t="shared" si="10"/>
        <v>29071.396649447903</v>
      </c>
      <c r="I351" s="16">
        <f t="shared" si="11"/>
        <v>633389.72056557995</v>
      </c>
      <c r="J351" s="127"/>
    </row>
    <row r="352" spans="2:10" x14ac:dyDescent="0.25">
      <c r="B352" s="6"/>
      <c r="C352" s="13"/>
      <c r="D352" s="82">
        <v>340</v>
      </c>
      <c r="E352" s="24">
        <f>I351+IF(Model!$E$32="Yes",(Model!$E$31=AmortSched!C352)*Model!$E$30*Model!$E$33,0)</f>
        <v>633389.72056557995</v>
      </c>
      <c r="F352" s="24">
        <f>-PMT(Model!$E$40/12,(Model!$E$41*12)-(D352-1),E352)</f>
        <v>31279.600373498004</v>
      </c>
      <c r="G352" s="25">
        <f>E352*Model!$E$40/12</f>
        <v>2111.299068551933</v>
      </c>
      <c r="H352" s="24">
        <f t="shared" si="10"/>
        <v>29168.301304946071</v>
      </c>
      <c r="I352" s="16">
        <f t="shared" si="11"/>
        <v>604221.41926063388</v>
      </c>
      <c r="J352" s="127"/>
    </row>
    <row r="353" spans="2:10" x14ac:dyDescent="0.25">
      <c r="B353" s="6"/>
      <c r="C353" s="13"/>
      <c r="D353" s="82">
        <v>341</v>
      </c>
      <c r="E353" s="24">
        <f>I352+IF(Model!$E$32="Yes",(Model!$E$31=AmortSched!C353)*Model!$E$30*Model!$E$33,0)</f>
        <v>604221.41926063388</v>
      </c>
      <c r="F353" s="24">
        <f>-PMT(Model!$E$40/12,(Model!$E$41*12)-(D353-1),E353)</f>
        <v>31279.600373497997</v>
      </c>
      <c r="G353" s="25">
        <f>E353*Model!$E$40/12</f>
        <v>2014.0713975354463</v>
      </c>
      <c r="H353" s="24">
        <f t="shared" si="10"/>
        <v>29265.528975962552</v>
      </c>
      <c r="I353" s="16">
        <f t="shared" si="11"/>
        <v>574955.89028467133</v>
      </c>
      <c r="J353" s="127"/>
    </row>
    <row r="354" spans="2:10" x14ac:dyDescent="0.25">
      <c r="B354" s="6"/>
      <c r="C354" s="13"/>
      <c r="D354" s="82">
        <v>342</v>
      </c>
      <c r="E354" s="24">
        <f>I353+IF(Model!$E$32="Yes",(Model!$E$31=AmortSched!C354)*Model!$E$30*Model!$E$33,0)</f>
        <v>574955.89028467133</v>
      </c>
      <c r="F354" s="24">
        <f>-PMT(Model!$E$40/12,(Model!$E$41*12)-(D354-1),E354)</f>
        <v>31279.600373498004</v>
      </c>
      <c r="G354" s="25">
        <f>E354*Model!$E$40/12</f>
        <v>1916.519634282238</v>
      </c>
      <c r="H354" s="24">
        <f t="shared" si="10"/>
        <v>29363.080739215766</v>
      </c>
      <c r="I354" s="16">
        <f t="shared" si="11"/>
        <v>545592.80954545562</v>
      </c>
      <c r="J354" s="127"/>
    </row>
    <row r="355" spans="2:10" x14ac:dyDescent="0.25">
      <c r="B355" s="6"/>
      <c r="C355" s="13"/>
      <c r="D355" s="82">
        <v>343</v>
      </c>
      <c r="E355" s="24">
        <f>I354+IF(Model!$E$32="Yes",(Model!$E$31=AmortSched!C355)*Model!$E$30*Model!$E$33,0)</f>
        <v>545592.80954545562</v>
      </c>
      <c r="F355" s="24">
        <f>-PMT(Model!$E$40/12,(Model!$E$41*12)-(D355-1),E355)</f>
        <v>31279.600373498004</v>
      </c>
      <c r="G355" s="25">
        <f>E355*Model!$E$40/12</f>
        <v>1818.6426984848522</v>
      </c>
      <c r="H355" s="24">
        <f t="shared" si="10"/>
        <v>29460.957675013153</v>
      </c>
      <c r="I355" s="16">
        <f t="shared" si="11"/>
        <v>516131.85187044245</v>
      </c>
      <c r="J355" s="127"/>
    </row>
    <row r="356" spans="2:10" x14ac:dyDescent="0.25">
      <c r="B356" s="6"/>
      <c r="C356" s="13"/>
      <c r="D356" s="82">
        <v>344</v>
      </c>
      <c r="E356" s="24">
        <f>I355+IF(Model!$E$32="Yes",(Model!$E$31=AmortSched!C356)*Model!$E$30*Model!$E$33,0)</f>
        <v>516131.85187044245</v>
      </c>
      <c r="F356" s="24">
        <f>-PMT(Model!$E$40/12,(Model!$E$41*12)-(D356-1),E356)</f>
        <v>31279.600373497997</v>
      </c>
      <c r="G356" s="25">
        <f>E356*Model!$E$40/12</f>
        <v>1720.4395062348083</v>
      </c>
      <c r="H356" s="24">
        <f t="shared" si="10"/>
        <v>29559.160867263188</v>
      </c>
      <c r="I356" s="16">
        <f t="shared" si="11"/>
        <v>486572.69100317924</v>
      </c>
      <c r="J356" s="127"/>
    </row>
    <row r="357" spans="2:10" x14ac:dyDescent="0.25">
      <c r="B357" s="6"/>
      <c r="C357" s="13"/>
      <c r="D357" s="82">
        <v>345</v>
      </c>
      <c r="E357" s="24">
        <f>I356+IF(Model!$E$32="Yes",(Model!$E$31=AmortSched!C357)*Model!$E$30*Model!$E$33,0)</f>
        <v>486572.69100317924</v>
      </c>
      <c r="F357" s="24">
        <f>-PMT(Model!$E$40/12,(Model!$E$41*12)-(D357-1),E357)</f>
        <v>31279.600373498004</v>
      </c>
      <c r="G357" s="25">
        <f>E357*Model!$E$40/12</f>
        <v>1621.9089700105976</v>
      </c>
      <c r="H357" s="24">
        <f t="shared" si="10"/>
        <v>29657.691403487406</v>
      </c>
      <c r="I357" s="16">
        <f t="shared" si="11"/>
        <v>456914.99959969183</v>
      </c>
      <c r="J357" s="127"/>
    </row>
    <row r="358" spans="2:10" x14ac:dyDescent="0.25">
      <c r="B358" s="6"/>
      <c r="C358" s="13"/>
      <c r="D358" s="82">
        <v>346</v>
      </c>
      <c r="E358" s="24">
        <f>I357+IF(Model!$E$32="Yes",(Model!$E$31=AmortSched!C358)*Model!$E$30*Model!$E$33,0)</f>
        <v>456914.99959969183</v>
      </c>
      <c r="F358" s="24">
        <f>-PMT(Model!$E$40/12,(Model!$E$41*12)-(D358-1),E358)</f>
        <v>31279.600373497997</v>
      </c>
      <c r="G358" s="25">
        <f>E358*Model!$E$40/12</f>
        <v>1523.0499986656396</v>
      </c>
      <c r="H358" s="24">
        <f t="shared" si="10"/>
        <v>29756.550374832357</v>
      </c>
      <c r="I358" s="16">
        <f t="shared" si="11"/>
        <v>427158.44922485948</v>
      </c>
      <c r="J358" s="127"/>
    </row>
    <row r="359" spans="2:10" x14ac:dyDescent="0.25">
      <c r="B359" s="6"/>
      <c r="C359" s="13"/>
      <c r="D359" s="82">
        <v>347</v>
      </c>
      <c r="E359" s="24">
        <f>I358+IF(Model!$E$32="Yes",(Model!$E$31=AmortSched!C359)*Model!$E$30*Model!$E$33,0)</f>
        <v>427158.44922485948</v>
      </c>
      <c r="F359" s="24">
        <f>-PMT(Model!$E$40/12,(Model!$E$41*12)-(D359-1),E359)</f>
        <v>31279.600373498004</v>
      </c>
      <c r="G359" s="25">
        <f>E359*Model!$E$40/12</f>
        <v>1423.8614974161983</v>
      </c>
      <c r="H359" s="24">
        <f t="shared" si="10"/>
        <v>29855.738876081807</v>
      </c>
      <c r="I359" s="16">
        <f t="shared" si="11"/>
        <v>397302.71034877765</v>
      </c>
      <c r="J359" s="127"/>
    </row>
    <row r="360" spans="2:10" x14ac:dyDescent="0.25">
      <c r="B360" s="6"/>
      <c r="C360" s="13"/>
      <c r="D360" s="82">
        <v>348</v>
      </c>
      <c r="E360" s="24">
        <f>I359+IF(Model!$E$32="Yes",(Model!$E$31=AmortSched!C360)*Model!$E$30*Model!$E$33,0)</f>
        <v>397302.71034877765</v>
      </c>
      <c r="F360" s="24">
        <f>-PMT(Model!$E$40/12,(Model!$E$41*12)-(D360-1),E360)</f>
        <v>31279.600373497997</v>
      </c>
      <c r="G360" s="25">
        <f>E360*Model!$E$40/12</f>
        <v>1324.3423678292588</v>
      </c>
      <c r="H360" s="24">
        <f t="shared" si="10"/>
        <v>29955.258005668737</v>
      </c>
      <c r="I360" s="16">
        <f t="shared" si="11"/>
        <v>367347.45234310889</v>
      </c>
      <c r="J360" s="127"/>
    </row>
    <row r="361" spans="2:10" x14ac:dyDescent="0.25">
      <c r="B361" s="6"/>
      <c r="C361" s="13"/>
      <c r="D361" s="82">
        <v>349</v>
      </c>
      <c r="E361" s="24">
        <f>I360+IF(Model!$E$32="Yes",(Model!$E$31=AmortSched!C361)*Model!$E$30*Model!$E$33,0)</f>
        <v>367347.45234310889</v>
      </c>
      <c r="F361" s="24">
        <f>-PMT(Model!$E$40/12,(Model!$E$41*12)-(D361-1),E361)</f>
        <v>31279.600373497997</v>
      </c>
      <c r="G361" s="25">
        <f>E361*Model!$E$40/12</f>
        <v>1224.4915078103629</v>
      </c>
      <c r="H361" s="24">
        <f t="shared" si="10"/>
        <v>30055.108865687635</v>
      </c>
      <c r="I361" s="16">
        <f t="shared" si="11"/>
        <v>337292.34347742127</v>
      </c>
      <c r="J361" s="127"/>
    </row>
    <row r="362" spans="2:10" x14ac:dyDescent="0.25">
      <c r="B362" s="6"/>
      <c r="C362" s="13"/>
      <c r="D362" s="82">
        <v>350</v>
      </c>
      <c r="E362" s="24">
        <f>I361+IF(Model!$E$32="Yes",(Model!$E$31=AmortSched!C362)*Model!$E$30*Model!$E$33,0)</f>
        <v>337292.34347742127</v>
      </c>
      <c r="F362" s="24">
        <f>-PMT(Model!$E$40/12,(Model!$E$41*12)-(D362-1),E362)</f>
        <v>31279.600373497997</v>
      </c>
      <c r="G362" s="25">
        <f>E362*Model!$E$40/12</f>
        <v>1124.3078115914043</v>
      </c>
      <c r="H362" s="24">
        <f t="shared" si="10"/>
        <v>30155.292561906594</v>
      </c>
      <c r="I362" s="16">
        <f t="shared" si="11"/>
        <v>307137.0509155147</v>
      </c>
      <c r="J362" s="127"/>
    </row>
    <row r="363" spans="2:10" x14ac:dyDescent="0.25">
      <c r="B363" s="6"/>
      <c r="C363" s="13"/>
      <c r="D363" s="82">
        <v>351</v>
      </c>
      <c r="E363" s="24">
        <f>I362+IF(Model!$E$32="Yes",(Model!$E$31=AmortSched!C363)*Model!$E$30*Model!$E$33,0)</f>
        <v>307137.0509155147</v>
      </c>
      <c r="F363" s="24">
        <f>-PMT(Model!$E$40/12,(Model!$E$41*12)-(D363-1),E363)</f>
        <v>31279.600373498011</v>
      </c>
      <c r="G363" s="25">
        <f>E363*Model!$E$40/12</f>
        <v>1023.7901697183823</v>
      </c>
      <c r="H363" s="24">
        <f t="shared" si="10"/>
        <v>30255.810203779631</v>
      </c>
      <c r="I363" s="16">
        <f t="shared" si="11"/>
        <v>276881.2407117351</v>
      </c>
      <c r="J363" s="127"/>
    </row>
    <row r="364" spans="2:10" x14ac:dyDescent="0.25">
      <c r="B364" s="6"/>
      <c r="C364" s="13"/>
      <c r="D364" s="82">
        <v>352</v>
      </c>
      <c r="E364" s="24">
        <f>I363+IF(Model!$E$32="Yes",(Model!$E$31=AmortSched!C364)*Model!$E$30*Model!$E$33,0)</f>
        <v>276881.2407117351</v>
      </c>
      <c r="F364" s="24">
        <f>-PMT(Model!$E$40/12,(Model!$E$41*12)-(D364-1),E364)</f>
        <v>31279.600373498011</v>
      </c>
      <c r="G364" s="25">
        <f>E364*Model!$E$40/12</f>
        <v>922.93746903911699</v>
      </c>
      <c r="H364" s="24">
        <f t="shared" si="10"/>
        <v>30356.662904458895</v>
      </c>
      <c r="I364" s="16">
        <f t="shared" si="11"/>
        <v>246524.57780727619</v>
      </c>
      <c r="J364" s="127"/>
    </row>
    <row r="365" spans="2:10" x14ac:dyDescent="0.25">
      <c r="B365" s="6"/>
      <c r="C365" s="13"/>
      <c r="D365" s="82">
        <v>353</v>
      </c>
      <c r="E365" s="24">
        <f>I364+IF(Model!$E$32="Yes",(Model!$E$31=AmortSched!C365)*Model!$E$30*Model!$E$33,0)</f>
        <v>246524.57780727619</v>
      </c>
      <c r="F365" s="24">
        <f>-PMT(Model!$E$40/12,(Model!$E$41*12)-(D365-1),E365)</f>
        <v>31279.600373498004</v>
      </c>
      <c r="G365" s="25">
        <f>E365*Model!$E$40/12</f>
        <v>821.74859269092065</v>
      </c>
      <c r="H365" s="24">
        <f t="shared" si="10"/>
        <v>30457.851780807083</v>
      </c>
      <c r="I365" s="16">
        <f t="shared" si="11"/>
        <v>216066.72602646911</v>
      </c>
      <c r="J365" s="127"/>
    </row>
    <row r="366" spans="2:10" x14ac:dyDescent="0.25">
      <c r="B366" s="6"/>
      <c r="C366" s="13"/>
      <c r="D366" s="82">
        <v>354</v>
      </c>
      <c r="E366" s="24">
        <f>I365+IF(Model!$E$32="Yes",(Model!$E$31=AmortSched!C366)*Model!$E$30*Model!$E$33,0)</f>
        <v>216066.72602646911</v>
      </c>
      <c r="F366" s="24">
        <f>-PMT(Model!$E$40/12,(Model!$E$41*12)-(D366-1),E366)</f>
        <v>31279.600373498004</v>
      </c>
      <c r="G366" s="25">
        <f>E366*Model!$E$40/12</f>
        <v>720.22242008823048</v>
      </c>
      <c r="H366" s="24">
        <f t="shared" si="10"/>
        <v>30559.377953409774</v>
      </c>
      <c r="I366" s="16">
        <f t="shared" si="11"/>
        <v>185507.34807305934</v>
      </c>
      <c r="J366" s="127"/>
    </row>
    <row r="367" spans="2:10" x14ac:dyDescent="0.25">
      <c r="B367" s="6"/>
      <c r="C367" s="13"/>
      <c r="D367" s="82">
        <v>355</v>
      </c>
      <c r="E367" s="24">
        <f>I366+IF(Model!$E$32="Yes",(Model!$E$31=AmortSched!C367)*Model!$E$30*Model!$E$33,0)</f>
        <v>185507.34807305934</v>
      </c>
      <c r="F367" s="24">
        <f>-PMT(Model!$E$40/12,(Model!$E$41*12)-(D367-1),E367)</f>
        <v>31279.600373498004</v>
      </c>
      <c r="G367" s="25">
        <f>E367*Model!$E$40/12</f>
        <v>618.35782691019779</v>
      </c>
      <c r="H367" s="24">
        <f t="shared" si="10"/>
        <v>30661.242546587808</v>
      </c>
      <c r="I367" s="16">
        <f t="shared" si="11"/>
        <v>154846.10552647154</v>
      </c>
      <c r="J367" s="127"/>
    </row>
    <row r="368" spans="2:10" x14ac:dyDescent="0.25">
      <c r="B368" s="6"/>
      <c r="C368" s="13"/>
      <c r="D368" s="82">
        <v>356</v>
      </c>
      <c r="E368" s="24">
        <f>I367+IF(Model!$E$32="Yes",(Model!$E$31=AmortSched!C368)*Model!$E$30*Model!$E$33,0)</f>
        <v>154846.10552647154</v>
      </c>
      <c r="F368" s="24">
        <f>-PMT(Model!$E$40/12,(Model!$E$41*12)-(D368-1),E368)</f>
        <v>31279.600373498011</v>
      </c>
      <c r="G368" s="25">
        <f>E368*Model!$E$40/12</f>
        <v>516.15368508823849</v>
      </c>
      <c r="H368" s="24">
        <f t="shared" si="10"/>
        <v>30763.446688409771</v>
      </c>
      <c r="I368" s="16">
        <f t="shared" si="11"/>
        <v>124082.65883806176</v>
      </c>
      <c r="J368" s="127"/>
    </row>
    <row r="369" spans="2:10" x14ac:dyDescent="0.25">
      <c r="B369" s="6"/>
      <c r="C369" s="13"/>
      <c r="D369" s="82">
        <v>357</v>
      </c>
      <c r="E369" s="24">
        <f>I368+IF(Model!$E$32="Yes",(Model!$E$31=AmortSched!C369)*Model!$E$30*Model!$E$33,0)</f>
        <v>124082.65883806176</v>
      </c>
      <c r="F369" s="24">
        <f>-PMT(Model!$E$40/12,(Model!$E$41*12)-(D369-1),E369)</f>
        <v>31279.600373498004</v>
      </c>
      <c r="G369" s="25">
        <f>E369*Model!$E$40/12</f>
        <v>413.60886279353923</v>
      </c>
      <c r="H369" s="24">
        <f t="shared" si="10"/>
        <v>30865.991510704465</v>
      </c>
      <c r="I369" s="16">
        <f t="shared" si="11"/>
        <v>93216.667327357296</v>
      </c>
      <c r="J369" s="127"/>
    </row>
    <row r="370" spans="2:10" x14ac:dyDescent="0.25">
      <c r="B370" s="6"/>
      <c r="C370" s="13"/>
      <c r="D370" s="82">
        <v>358</v>
      </c>
      <c r="E370" s="24">
        <f>I369+IF(Model!$E$32="Yes",(Model!$E$31=AmortSched!C370)*Model!$E$30*Model!$E$33,0)</f>
        <v>93216.667327357296</v>
      </c>
      <c r="F370" s="24">
        <f>-PMT(Model!$E$40/12,(Model!$E$41*12)-(D370-1),E370)</f>
        <v>31279.600373498011</v>
      </c>
      <c r="G370" s="25">
        <f>E370*Model!$E$40/12</f>
        <v>310.72222442452431</v>
      </c>
      <c r="H370" s="24">
        <f t="shared" si="10"/>
        <v>30968.878149073487</v>
      </c>
      <c r="I370" s="16">
        <f t="shared" si="11"/>
        <v>62247.789178283812</v>
      </c>
      <c r="J370" s="127"/>
    </row>
    <row r="371" spans="2:10" x14ac:dyDescent="0.25">
      <c r="B371" s="6"/>
      <c r="C371" s="13"/>
      <c r="D371" s="82">
        <v>359</v>
      </c>
      <c r="E371" s="24">
        <f>I370+IF(Model!$E$32="Yes",(Model!$E$31=AmortSched!C371)*Model!$E$30*Model!$E$33,0)</f>
        <v>62247.789178283812</v>
      </c>
      <c r="F371" s="24">
        <f>-PMT(Model!$E$40/12,(Model!$E$41*12)-(D371-1),E371)</f>
        <v>31279.600373498011</v>
      </c>
      <c r="G371" s="25">
        <f>E371*Model!$E$40/12</f>
        <v>207.49263059427938</v>
      </c>
      <c r="H371" s="24">
        <f t="shared" si="10"/>
        <v>31072.107742903732</v>
      </c>
      <c r="I371" s="16">
        <f t="shared" si="11"/>
        <v>31175.68143538008</v>
      </c>
      <c r="J371" s="127"/>
    </row>
    <row r="372" spans="2:10" x14ac:dyDescent="0.25">
      <c r="B372" s="6"/>
      <c r="C372" s="15"/>
      <c r="D372" s="84">
        <v>360</v>
      </c>
      <c r="E372" s="26">
        <f>I371+IF(Model!$E$32="Yes",(Model!$E$31=AmortSched!C372)*Model!$E$30*Model!$E$33,0)</f>
        <v>31175.68143538008</v>
      </c>
      <c r="F372" s="26">
        <f>-PMT(Model!$E$40/12,(Model!$E$41*12)-(D372-1),E372)</f>
        <v>31279.600373498011</v>
      </c>
      <c r="G372" s="27">
        <f>E372*Model!$E$40/12</f>
        <v>103.91893811793359</v>
      </c>
      <c r="H372" s="26">
        <f t="shared" si="10"/>
        <v>31175.681435380076</v>
      </c>
      <c r="I372" s="17">
        <f t="shared" si="11"/>
        <v>0</v>
      </c>
      <c r="J372" s="127"/>
    </row>
    <row r="373" spans="2:10" ht="15.75" thickBot="1" x14ac:dyDescent="0.3">
      <c r="B373" s="7"/>
      <c r="C373" s="129"/>
      <c r="D373" s="129"/>
      <c r="E373" s="129"/>
      <c r="F373" s="129"/>
      <c r="G373" s="129"/>
      <c r="H373" s="129"/>
      <c r="I373" s="129"/>
      <c r="J373" s="131"/>
    </row>
  </sheetData>
  <mergeCells count="2">
    <mergeCell ref="C11:I11"/>
    <mergeCell ref="C2:I3"/>
  </mergeCells>
  <hyperlinks>
    <hyperlink ref="C6" r:id="rId1" xr:uid="{20BAC884-29F3-4893-8866-B574C67B81C4}"/>
    <hyperlink ref="C5" r:id="rId2" xr:uid="{953DE694-824E-4C1B-A567-E60C0CDB3E9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Model</vt:lpstr>
      <vt:lpstr>Waterfall</vt:lpstr>
      <vt:lpstr>AmortSched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Belasco</dc:creator>
  <cp:lastModifiedBy>Spencer Burton</cp:lastModifiedBy>
  <dcterms:created xsi:type="dcterms:W3CDTF">2015-11-08T18:29:30Z</dcterms:created>
  <dcterms:modified xsi:type="dcterms:W3CDTF">2018-10-12T12:21:43Z</dcterms:modified>
</cp:coreProperties>
</file>